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5795" yWindow="720" windowWidth="12525" windowHeight="9045" tabRatio="346"/>
  </bookViews>
  <sheets>
    <sheet name="ПЗ" sheetId="1" r:id="rId1"/>
  </sheets>
  <definedNames>
    <definedName name="_xlnm._FilterDatabase" localSheetId="0" hidden="1">ПЗ!$A$7:$J$2064</definedName>
    <definedName name="_xlnm.Print_Area" localSheetId="0">ПЗ!$A$1:$J$2064</definedName>
  </definedNames>
  <calcPr calcId="144525" refMode="R1C1"/>
</workbook>
</file>

<file path=xl/calcChain.xml><?xml version="1.0" encoding="utf-8"?>
<calcChain xmlns="http://schemas.openxmlformats.org/spreadsheetml/2006/main">
  <c r="H1942" i="1" l="1"/>
  <c r="H1827" i="1"/>
  <c r="H1823" i="1"/>
  <c r="H1809" i="1"/>
  <c r="H497" i="1"/>
  <c r="H475" i="1"/>
  <c r="H1863" i="1" l="1"/>
  <c r="H1953" i="1"/>
  <c r="H2062" i="1" l="1"/>
  <c r="H2054" i="1"/>
  <c r="H2033" i="1"/>
  <c r="H23" i="1"/>
  <c r="H2005" i="1" l="1"/>
  <c r="H1978" i="1" l="1"/>
  <c r="H1995" i="1"/>
  <c r="H313" i="1" l="1"/>
  <c r="H384" i="1"/>
  <c r="H314" i="1"/>
  <c r="H71" i="1" l="1"/>
  <c r="H67" i="1"/>
  <c r="H61" i="1"/>
  <c r="H56" i="1"/>
  <c r="H50" i="1"/>
  <c r="H49" i="1"/>
  <c r="H47" i="1"/>
  <c r="H46" i="1"/>
  <c r="H45" i="1"/>
  <c r="H44" i="1"/>
  <c r="H43" i="1"/>
  <c r="H42" i="1"/>
  <c r="H1807" i="1"/>
  <c r="H1887" i="1"/>
  <c r="H1976" i="1"/>
  <c r="H1992" i="1"/>
  <c r="H1973" i="1"/>
  <c r="H1925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12" i="1"/>
  <c r="H1982" i="1" l="1"/>
  <c r="H1596" i="1" l="1"/>
  <c r="H1593" i="1"/>
  <c r="H1832" i="1" l="1"/>
  <c r="H1864" i="1"/>
  <c r="H1831" i="1"/>
  <c r="H1830" i="1"/>
  <c r="H1806" i="1" l="1"/>
  <c r="H19" i="1"/>
  <c r="H2026" i="1"/>
  <c r="H2025" i="1"/>
  <c r="H1885" i="1"/>
  <c r="H1669" i="1"/>
  <c r="H612" i="1"/>
  <c r="H470" i="1"/>
  <c r="H469" i="1"/>
  <c r="H467" i="1"/>
  <c r="H463" i="1"/>
  <c r="H457" i="1"/>
  <c r="H453" i="1"/>
  <c r="H452" i="1"/>
  <c r="H1777" i="1" l="1"/>
  <c r="H1788" i="1"/>
  <c r="H1795" i="1"/>
  <c r="H1771" i="1"/>
  <c r="H76" i="1"/>
  <c r="H8" i="1" l="1"/>
  <c r="H1867" i="1"/>
  <c r="H1896" i="1"/>
  <c r="H1911" i="1"/>
  <c r="H1948" i="1"/>
  <c r="H252" i="1" l="1"/>
  <c r="H215" i="1"/>
  <c r="H214" i="1"/>
  <c r="H203" i="1"/>
  <c r="H250" i="1"/>
  <c r="H204" i="1"/>
  <c r="H621" i="1"/>
  <c r="H606" i="1" s="1"/>
  <c r="H2055" i="1" l="1"/>
  <c r="H1947" i="1" l="1"/>
  <c r="H464" i="1" l="1"/>
  <c r="H1772" i="1" l="1"/>
  <c r="H2044" i="1" l="1"/>
  <c r="H1671" i="1"/>
  <c r="H1689" i="1"/>
  <c r="H1682" i="1"/>
  <c r="H382" i="1"/>
  <c r="H376" i="1"/>
  <c r="H363" i="1"/>
  <c r="H356" i="1"/>
  <c r="H355" i="1"/>
  <c r="H1974" i="1" l="1"/>
  <c r="H1977" i="1"/>
  <c r="H1975" i="1"/>
  <c r="H1967" i="1"/>
  <c r="H1966" i="1"/>
  <c r="H1964" i="1"/>
  <c r="H1963" i="1"/>
  <c r="H1959" i="1"/>
  <c r="H1957" i="1"/>
  <c r="H1956" i="1"/>
  <c r="H1954" i="1"/>
  <c r="H1965" i="1"/>
  <c r="H1958" i="1"/>
  <c r="H368" i="1"/>
  <c r="H1990" i="1" l="1"/>
  <c r="H2002" i="1"/>
  <c r="H18" i="1"/>
  <c r="H13" i="1" s="1"/>
  <c r="H297" i="1" l="1"/>
  <c r="H272" i="1" s="1"/>
  <c r="H100" i="1"/>
  <c r="H97" i="1"/>
  <c r="H96" i="1" s="1"/>
  <c r="H1615" i="1" l="1"/>
  <c r="H1618" i="1"/>
  <c r="H1704" i="1" l="1"/>
  <c r="H1705" i="1"/>
  <c r="H1610" i="1"/>
  <c r="H638" i="1"/>
  <c r="H706" i="1"/>
  <c r="H697" i="1"/>
  <c r="H692" i="1"/>
  <c r="H691" i="1"/>
  <c r="H369" i="1"/>
  <c r="H128" i="1"/>
  <c r="H127" i="1"/>
  <c r="H124" i="1"/>
  <c r="H123" i="1"/>
  <c r="H1796" i="1" l="1"/>
  <c r="H2043" i="1"/>
  <c r="H1884" i="1"/>
  <c r="H1882" i="1" s="1"/>
  <c r="H1933" i="1"/>
  <c r="H1931" i="1" s="1"/>
  <c r="H1767" i="1"/>
  <c r="H1764" i="1"/>
  <c r="H1793" i="1"/>
  <c r="H1781" i="1"/>
  <c r="H1780" i="1"/>
  <c r="H357" i="1"/>
  <c r="H1761" i="1" l="1"/>
  <c r="H254" i="1" l="1"/>
  <c r="H1724" i="1"/>
  <c r="H1722" i="1"/>
  <c r="H1725" i="1"/>
  <c r="H1726" i="1"/>
  <c r="H1727" i="1"/>
  <c r="H1730" i="1"/>
  <c r="H176" i="1" l="1"/>
  <c r="H1492" i="1" l="1"/>
  <c r="H1476" i="1"/>
  <c r="H1474" i="1"/>
  <c r="H1462" i="1"/>
  <c r="H1461" i="1"/>
  <c r="H173" i="1"/>
  <c r="H159" i="1"/>
  <c r="H157" i="1"/>
  <c r="H156" i="1"/>
  <c r="H153" i="1"/>
  <c r="H152" i="1"/>
  <c r="H151" i="1"/>
  <c r="H147" i="1"/>
  <c r="H144" i="1"/>
  <c r="H143" i="1"/>
  <c r="H142" i="1"/>
  <c r="H141" i="1"/>
  <c r="H1499" i="1"/>
  <c r="H179" i="1"/>
  <c r="H1501" i="1"/>
  <c r="H180" i="1"/>
  <c r="H1478" i="1"/>
  <c r="H161" i="1"/>
  <c r="H1496" i="1"/>
  <c r="H1466" i="1"/>
  <c r="H155" i="1"/>
  <c r="H1707" i="1" l="1"/>
  <c r="H1672" i="1"/>
  <c r="H1668" i="1" s="1"/>
  <c r="H1702" i="1"/>
  <c r="H72" i="1"/>
  <c r="H40" i="1" s="1"/>
  <c r="H716" i="1"/>
  <c r="H673" i="1"/>
  <c r="H666" i="1"/>
  <c r="H630" i="1"/>
  <c r="H460" i="1"/>
  <c r="H458" i="1"/>
  <c r="H449" i="1"/>
  <c r="H448" i="1"/>
  <c r="H468" i="1"/>
  <c r="H2012" i="1"/>
  <c r="H304" i="1"/>
  <c r="H305" i="1"/>
  <c r="H628" i="1" l="1"/>
  <c r="H412" i="1" l="1"/>
  <c r="H336" i="1"/>
  <c r="H334" i="1"/>
  <c r="H333" i="1"/>
  <c r="H330" i="1"/>
  <c r="H328" i="1"/>
  <c r="H329" i="1"/>
  <c r="H307" i="1" l="1"/>
  <c r="H1595" i="1"/>
  <c r="H1594" i="1"/>
  <c r="H1582" i="1"/>
  <c r="H1578" i="1"/>
  <c r="H526" i="1"/>
  <c r="H520" i="1"/>
  <c r="H519" i="1"/>
  <c r="H517" i="1"/>
  <c r="H516" i="1"/>
  <c r="H515" i="1"/>
  <c r="H514" i="1"/>
  <c r="H512" i="1"/>
  <c r="H510" i="1"/>
  <c r="H509" i="1"/>
  <c r="H504" i="1"/>
  <c r="H503" i="1"/>
  <c r="H502" i="1"/>
  <c r="H500" i="1"/>
  <c r="H499" i="1"/>
  <c r="H474" i="1"/>
  <c r="H1571" i="1"/>
  <c r="H1572" i="1"/>
  <c r="H1559" i="1"/>
  <c r="H125" i="1"/>
  <c r="H122" i="1" l="1"/>
  <c r="H2035" i="1" l="1"/>
  <c r="H1688" i="1"/>
  <c r="H1701" i="1"/>
  <c r="H1667" i="1" l="1"/>
  <c r="H1694" i="1" l="1"/>
  <c r="H1711" i="1"/>
  <c r="H1692" i="1"/>
  <c r="H1691" i="1"/>
  <c r="H1690" i="1"/>
  <c r="H2053" i="1" l="1"/>
  <c r="H2049" i="1"/>
  <c r="H2039" i="1"/>
  <c r="H2036" i="1"/>
  <c r="H2034" i="1"/>
  <c r="H2030" i="1"/>
  <c r="H2016" i="1" l="1"/>
  <c r="H2015" i="1"/>
  <c r="H2014" i="1"/>
  <c r="H306" i="1"/>
  <c r="H2013" i="1"/>
  <c r="H1804" i="1"/>
  <c r="H1803" i="1"/>
  <c r="H1802" i="1"/>
  <c r="H2011" i="1" l="1"/>
  <c r="H1926" i="1"/>
  <c r="H1801" i="1" l="1"/>
  <c r="H1677" i="1" l="1"/>
  <c r="H1686" i="1"/>
  <c r="H1676" i="1" l="1"/>
  <c r="H1634" i="1"/>
  <c r="H1633" i="1"/>
  <c r="H1635" i="1"/>
  <c r="H1599" i="1"/>
  <c r="H1592" i="1" l="1"/>
  <c r="H1612" i="1"/>
  <c r="H1459" i="1" l="1"/>
  <c r="H1457" i="1" l="1"/>
  <c r="H1456" i="1"/>
  <c r="H2028" i="1"/>
  <c r="H2027" i="1"/>
  <c r="H1449" i="1" l="1"/>
  <c r="H1746" i="1"/>
  <c r="H1716" i="1"/>
  <c r="H1735" i="1"/>
  <c r="F1669" i="1"/>
  <c r="H216" i="1" l="1"/>
  <c r="H139" i="1" s="1"/>
  <c r="H129" i="1" l="1"/>
  <c r="F121" i="1" l="1"/>
  <c r="H261" i="1" l="1"/>
  <c r="H1998" i="1" l="1"/>
  <c r="H1894" i="1"/>
  <c r="H1859" i="1" s="1"/>
  <c r="H1738" i="1" l="1"/>
  <c r="H1632" i="1"/>
  <c r="H253" i="1"/>
  <c r="H120" i="1"/>
  <c r="H104" i="1" l="1"/>
  <c r="H2063" i="1" l="1"/>
</calcChain>
</file>

<file path=xl/sharedStrings.xml><?xml version="1.0" encoding="utf-8"?>
<sst xmlns="http://schemas.openxmlformats.org/spreadsheetml/2006/main" count="16561" uniqueCount="3420">
  <si>
    <t>Планируемая сумма закупа, тенге</t>
  </si>
  <si>
    <t>Срок поставки товара, выполнения работ, оказания услуг</t>
  </si>
  <si>
    <t>в течение года</t>
  </si>
  <si>
    <t>х</t>
  </si>
  <si>
    <t>Медицинское страхование сотрудников ПП</t>
  </si>
  <si>
    <t>Аренда офиса</t>
  </si>
  <si>
    <t>Юридические (нотариальные) услуги</t>
  </si>
  <si>
    <t>Типографские расходы (объявления в газете: финансовая отчетность, конкурсы, на подбор кадров)</t>
  </si>
  <si>
    <t>Абонентское обслуживание 1С:Бухгалтерия и 1С: ЗУП</t>
  </si>
  <si>
    <t>Участие в выставках, семинарах, конференциях, форумах, совещаниях</t>
  </si>
  <si>
    <t>Конверты большие А4</t>
  </si>
  <si>
    <t>Скотч 50х66 м</t>
  </si>
  <si>
    <t>Скотч 15х10м</t>
  </si>
  <si>
    <t>Батарейка Крона</t>
  </si>
  <si>
    <t>DVD-R</t>
  </si>
  <si>
    <t>DVD-RW</t>
  </si>
  <si>
    <t>CD-RW(диски болванки)</t>
  </si>
  <si>
    <t>Коннектора RJ-11</t>
  </si>
  <si>
    <t>Клавиатура</t>
  </si>
  <si>
    <t>Мыло жидкое</t>
  </si>
  <si>
    <t>Конверты плотные желтые</t>
  </si>
  <si>
    <t>CD R (диски болванки)</t>
  </si>
  <si>
    <t>Корзина для бумаги</t>
  </si>
  <si>
    <t>Сетевой фильтр (удлинитель)</t>
  </si>
  <si>
    <t>Средство для чистки мониторов (салфетки)</t>
  </si>
  <si>
    <t>Телефонный аппарат</t>
  </si>
  <si>
    <t>USB 8 GB Flush drive</t>
  </si>
  <si>
    <t>USB 16 GB Flush drive</t>
  </si>
  <si>
    <t>микрофон+наушники</t>
  </si>
  <si>
    <t>Диспенсер</t>
  </si>
  <si>
    <t>Переносной HDD 500Gb</t>
  </si>
  <si>
    <t>Патчкорды в комплекте 3 м</t>
  </si>
  <si>
    <t>Патчкорды в комплекте 5 м</t>
  </si>
  <si>
    <t>Дизтопливо</t>
  </si>
  <si>
    <t>Абонентская плата</t>
  </si>
  <si>
    <t xml:space="preserve">Аренда канала в телефонной канализации </t>
  </si>
  <si>
    <t>Аренда канала связи (от СЦ до Минфин РК) - в рамках проекта Виртуализация</t>
  </si>
  <si>
    <t>Лимит на междугородние переговоры и выход на сотовую связь</t>
  </si>
  <si>
    <t>Поддержка доменных имен</t>
  </si>
  <si>
    <t>Поддержка IP адресов</t>
  </si>
  <si>
    <t>Услуги GSM-шлюз</t>
  </si>
  <si>
    <t xml:space="preserve"> Интернет (абонентская плата за интернет, трафик интернет, адресное пространство в сети интернет)</t>
  </si>
  <si>
    <t>Интеллектуальный номер 
Call-centre (Free Phone)</t>
  </si>
  <si>
    <t>Предоставление потока Е1</t>
  </si>
  <si>
    <t>Абонентская плата за телефон</t>
  </si>
  <si>
    <t>Междугородние переговоры</t>
  </si>
  <si>
    <t>Прочие услуги ГТС</t>
  </si>
  <si>
    <t>Интернет</t>
  </si>
  <si>
    <t>Аренда модема</t>
  </si>
  <si>
    <t xml:space="preserve">Услуги цифровой телефонии </t>
  </si>
  <si>
    <t>Плата за пользование услугами цифровой телефонии</t>
  </si>
  <si>
    <t>Департамент казначейства</t>
  </si>
  <si>
    <t>Налоговый департамент</t>
  </si>
  <si>
    <t>Департамент юстиции</t>
  </si>
  <si>
    <t>Департамент Казначейства</t>
  </si>
  <si>
    <t>Аренда гаражей и стоянок</t>
  </si>
  <si>
    <t>Электроэнергия</t>
  </si>
  <si>
    <t>Тех.поддержка системы автоматизации бизнес-процессов АО "НИТ"</t>
  </si>
  <si>
    <t>ОТ</t>
  </si>
  <si>
    <t>ЦП</t>
  </si>
  <si>
    <t>ОИ</t>
  </si>
  <si>
    <t>Офис</t>
  </si>
  <si>
    <t>Фьюзер (220V) 5330-5335</t>
  </si>
  <si>
    <t>Тонер картридж (30к) 5330-5335</t>
  </si>
  <si>
    <t>Фотобарабан (96к) 5330-5335</t>
  </si>
  <si>
    <t>Комплект роликов DADF 7120/7525</t>
  </si>
  <si>
    <t>Ролик переноса в сборе 5225/5230</t>
  </si>
  <si>
    <t>PC Ph 7500  тонер-картридж Black  (19.8k)</t>
  </si>
  <si>
    <t>PC Ph 7500  тонер-картридж Cyan (17.8)</t>
  </si>
  <si>
    <t>PC Ph 7500  тонер-картридж Magenta (17.8)</t>
  </si>
  <si>
    <t>PC Ph 7500  тонер-картридж Yellow (17.8)</t>
  </si>
  <si>
    <t>PC Ph 7500 фотобарабан (80k)</t>
  </si>
  <si>
    <t>PC Ph 7500 фьюзер и узел отчистки в сборе (100к)</t>
  </si>
  <si>
    <t>Картридж для сбора отработанного тонера (7500)</t>
  </si>
  <si>
    <t>Ремень переноса РН 7500/WC7425</t>
  </si>
  <si>
    <t>Ролик второго переноса РН7500</t>
  </si>
  <si>
    <t>Ролики подачи лотков 1-5 Ph 7500</t>
  </si>
  <si>
    <t>WC 5225 тонер-картридж (30к) /5230/</t>
  </si>
  <si>
    <t>WC 5225 Фотобарабан (80к) /5230/</t>
  </si>
  <si>
    <t>WC 5225/5222 фьюзер (175к) /5230/123-133</t>
  </si>
  <si>
    <t>WCC 7425 Фотобарабан (75к)/7428-7435</t>
  </si>
  <si>
    <t>Вентилятор</t>
  </si>
  <si>
    <t>Набор инструментов</t>
  </si>
  <si>
    <t>Диспенсер, тип 2</t>
  </si>
  <si>
    <t>Роза голанская 100 см</t>
  </si>
  <si>
    <t>Тюльпаны макси (Голандия)</t>
  </si>
  <si>
    <t>Гербера макси (Голандия)</t>
  </si>
  <si>
    <t>Хризантема ветка (Голандия)</t>
  </si>
  <si>
    <t>Лилия азиатка</t>
  </si>
  <si>
    <t>Салфетки</t>
  </si>
  <si>
    <t>Моющее для посуды</t>
  </si>
  <si>
    <t>Освежитель воздуха</t>
  </si>
  <si>
    <t>Скотч 12х10м</t>
  </si>
  <si>
    <t>Бланки строгой отчетности</t>
  </si>
  <si>
    <t>№ п/п</t>
  </si>
  <si>
    <t>Краткая характеристика (описание) товаров, работ и услуг</t>
  </si>
  <si>
    <t>Размер авансового платежа</t>
  </si>
  <si>
    <t>Место поставки товара, выполнения работ, оказания услуг</t>
  </si>
  <si>
    <t>Ед. изм.</t>
  </si>
  <si>
    <t>Кол-во, объем</t>
  </si>
  <si>
    <t>Шт.</t>
  </si>
  <si>
    <t>г. Астана</t>
  </si>
  <si>
    <t>0-100%</t>
  </si>
  <si>
    <t>1 квартал 2015 года</t>
  </si>
  <si>
    <t>2 квартал 2015 года</t>
  </si>
  <si>
    <t>Нематериальные активы</t>
  </si>
  <si>
    <t>2</t>
  </si>
  <si>
    <t>1/1</t>
  </si>
  <si>
    <t>1/2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</si>
  <si>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</si>
  <si>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</si>
  <si>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</si>
  <si>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</si>
  <si>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</si>
  <si>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</si>
  <si>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</si>
  <si>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</si>
  <si>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</si>
  <si>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</si>
  <si>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</si>
  <si>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</si>
  <si>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</si>
  <si>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</si>
  <si>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Основные средства, машины и оборудование ПП</t>
  </si>
  <si>
    <t>Основные средства, машины и оборудование ОЦИТ</t>
  </si>
  <si>
    <t>ОЦИТ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</si>
  <si>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</si>
  <si>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</si>
  <si>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</si>
  <si>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</si>
  <si>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</si>
  <si>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</si>
  <si>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</si>
  <si>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</si>
  <si>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</si>
  <si>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</si>
  <si>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</si>
  <si>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</si>
  <si>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</si>
  <si>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</si>
  <si>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</si>
  <si>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</si>
  <si>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</si>
  <si>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</si>
  <si>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</si>
  <si>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</si>
  <si>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</si>
  <si>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</si>
  <si>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</si>
  <si>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</si>
  <si>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</si>
  <si>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</si>
  <si>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</si>
  <si>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</si>
  <si>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</si>
  <si>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</si>
  <si>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</si>
  <si>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</si>
  <si>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</si>
  <si>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</si>
  <si>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3/35</t>
  </si>
  <si>
    <t>3/36</t>
  </si>
  <si>
    <t>3/37</t>
  </si>
  <si>
    <t>3/38</t>
  </si>
  <si>
    <t>3/39</t>
  </si>
  <si>
    <t>3/40</t>
  </si>
  <si>
    <t>3/41</t>
  </si>
  <si>
    <t>3/42</t>
  </si>
  <si>
    <t>3/43</t>
  </si>
  <si>
    <t>3/44</t>
  </si>
  <si>
    <t>3/45</t>
  </si>
  <si>
    <t>3/46</t>
  </si>
  <si>
    <t>3/47</t>
  </si>
  <si>
    <t>3/48</t>
  </si>
  <si>
    <t>3/49</t>
  </si>
  <si>
    <t>3/50</t>
  </si>
  <si>
    <t>3/51</t>
  </si>
  <si>
    <t>Мебель и прочее ПП</t>
  </si>
  <si>
    <t>4</t>
  </si>
  <si>
    <t>м2</t>
  </si>
  <si>
    <t>Мебель и прочее ОЦИТ</t>
  </si>
  <si>
    <t>4/1</t>
  </si>
  <si>
    <t>4/2</t>
  </si>
  <si>
    <t>4/3</t>
  </si>
  <si>
    <t>4/4</t>
  </si>
  <si>
    <t>Комплект</t>
  </si>
  <si>
    <t>5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</si>
  <si>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</si>
  <si>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</si>
  <si>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</si>
  <si>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</si>
  <si>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</si>
  <si>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</si>
  <si>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</si>
  <si>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</si>
  <si>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</si>
  <si>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</si>
  <si>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</si>
  <si>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</si>
  <si>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</si>
  <si>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</si>
  <si>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</si>
  <si>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ГСМ</t>
  </si>
  <si>
    <t xml:space="preserve">Бензин </t>
  </si>
  <si>
    <t>л.</t>
  </si>
  <si>
    <t>Летнее</t>
  </si>
  <si>
    <t>Зимнее</t>
  </si>
  <si>
    <t>Аи 92-93</t>
  </si>
  <si>
    <t>Аи 95-96</t>
  </si>
  <si>
    <t>Запчасти и масла ОЦИТ</t>
  </si>
  <si>
    <t>Запчасти и масла</t>
  </si>
  <si>
    <t>Алматинский филиал</t>
  </si>
  <si>
    <t>Запчасти и масла на автомобиль ВАЗ-2131</t>
  </si>
  <si>
    <t>Запчасти и масла на автомобиль Mitsubichi L200</t>
  </si>
  <si>
    <t>Шины</t>
  </si>
  <si>
    <t>Запчасти и масла на автомобиль KIA Sorento</t>
  </si>
  <si>
    <t>Алматинский ОЦИТ</t>
  </si>
  <si>
    <t>Актюбинский ОЦИТ</t>
  </si>
  <si>
    <t>Атырауский ОЦИТ</t>
  </si>
  <si>
    <t>Акмолинский ОЦИТ</t>
  </si>
  <si>
    <t>ВКОЦИТ</t>
  </si>
  <si>
    <t>Карагандинский ОЦИТ</t>
  </si>
  <si>
    <t>Жезказганское отделение Карагандинского ОЦИТ</t>
  </si>
  <si>
    <t>Костанайский ОЦИТ</t>
  </si>
  <si>
    <t>Аркалыкское отделение Костанайского ОЦИТ</t>
  </si>
  <si>
    <t>Кызылординский ОЦИТ</t>
  </si>
  <si>
    <t>Павлодарский ОЦИТ</t>
  </si>
  <si>
    <t>СК ОЦИТ</t>
  </si>
  <si>
    <t>Жамбылский ОЦИТ</t>
  </si>
  <si>
    <t>Мангистауский ОЦИТ</t>
  </si>
  <si>
    <t>ЗК ОЦИТ</t>
  </si>
  <si>
    <t>Аксайское отделение ЗК ОЦИТ</t>
  </si>
  <si>
    <t>ЮК ОЦИТ</t>
  </si>
  <si>
    <t>ЦИТ по г. Астана</t>
  </si>
  <si>
    <t>Услуги аренды спутниковой системы мониторинга объектов</t>
  </si>
  <si>
    <t>Ремонт автотранспорта ПП и АУП</t>
  </si>
  <si>
    <t>Ежегодный  государственный техосмотр автотранспорта ПП и АУП</t>
  </si>
  <si>
    <t>Мойка машин и химчистка ПП и АУП</t>
  </si>
  <si>
    <t>Ежегодный  государственный техосмотр автотранспорта</t>
  </si>
  <si>
    <t xml:space="preserve">Мойка машин и химчистка </t>
  </si>
  <si>
    <t xml:space="preserve">Ремонт автотранспорта </t>
  </si>
  <si>
    <t>Ремонт автотранспорта Mitsubishi L200</t>
  </si>
  <si>
    <t>ВКО ЦИТ</t>
  </si>
  <si>
    <t>Семипалатинское отделение ВКО ЦИТ</t>
  </si>
  <si>
    <t>СКО ЦИТ</t>
  </si>
  <si>
    <t>Мангыстауский ОЦИТ</t>
  </si>
  <si>
    <t>ЗКО ЦИТ</t>
  </si>
  <si>
    <t>Аксайское отделение ЗКО ЦИТ</t>
  </si>
  <si>
    <t>ЮКО ЦИТ</t>
  </si>
  <si>
    <t>Автоматизированная диспетчерская служба GPS</t>
  </si>
  <si>
    <t>Техосмотр автотранспорта</t>
  </si>
  <si>
    <t>Семипалатинское отделение</t>
  </si>
  <si>
    <t>Жезказганское отделение</t>
  </si>
  <si>
    <t>Аркалыкское отделение</t>
  </si>
  <si>
    <t>Аксайское отделение</t>
  </si>
  <si>
    <t>Сервисное обслуживание, ремонт, монтаж/демонтаж, изготовление козырька, заправка</t>
  </si>
  <si>
    <t>Сервисное обслуживание кондиционеров</t>
  </si>
  <si>
    <t>Связь ПП и АУП</t>
  </si>
  <si>
    <t>Абонентская плата за телефонные номера</t>
  </si>
  <si>
    <t>Аренда канала связи</t>
  </si>
  <si>
    <t>Междугородние переговоры и выход на сотовую связь</t>
  </si>
  <si>
    <t xml:space="preserve"> Интернет</t>
  </si>
  <si>
    <t xml:space="preserve">СМС-оповещения </t>
  </si>
  <si>
    <t>СМС-оповещения руководства и членов восстановительных групп, по возникновению нештатных ситуаций</t>
  </si>
  <si>
    <t>Услуга доступа к ЕТС ГО, от БЦ«Асылтау» до АО «НИТ» 50Мбит/сек</t>
  </si>
  <si>
    <t>Услуга доступа к ЕТС ГО</t>
  </si>
  <si>
    <t xml:space="preserve"> Услуга SIP-транк</t>
  </si>
  <si>
    <t xml:space="preserve">Интеллектуальный номер </t>
  </si>
  <si>
    <t>Услуга "PRI-потока"</t>
  </si>
  <si>
    <t xml:space="preserve">Абонентская плата </t>
  </si>
  <si>
    <t>Мангистауская область</t>
  </si>
  <si>
    <t>Актюбинская область</t>
  </si>
  <si>
    <t>Атырауская область</t>
  </si>
  <si>
    <t>Карагандинская область</t>
  </si>
  <si>
    <t>Костанайская область</t>
  </si>
  <si>
    <t>Акмолинская область</t>
  </si>
  <si>
    <t>Кызылординская область</t>
  </si>
  <si>
    <t>Павлодарская область</t>
  </si>
  <si>
    <t>Северо-Казахстанская область</t>
  </si>
  <si>
    <t>Восточно-Казахстанская область</t>
  </si>
  <si>
    <t xml:space="preserve">Семипалатинское отделение </t>
  </si>
  <si>
    <t>Жамбылская область</t>
  </si>
  <si>
    <t>Алматинская область</t>
  </si>
  <si>
    <t>Южно-Казахстанская область</t>
  </si>
  <si>
    <t>Связь ОЦИТ</t>
  </si>
  <si>
    <t>Ремонт автотранспорта ОЦИТ</t>
  </si>
  <si>
    <t>Перенос точки подключения по услугам сети IP VPN</t>
  </si>
  <si>
    <t>Подключение к республиканскому порту</t>
  </si>
  <si>
    <t>Подключение к первому шлюзу</t>
  </si>
  <si>
    <t>Подключение к каждому последующему шлюзу</t>
  </si>
  <si>
    <t>Спецсвязь (ЕМС почта)</t>
  </si>
  <si>
    <t xml:space="preserve">Акмолинский ОЦИТ </t>
  </si>
  <si>
    <t>ВК ОЦИТ</t>
  </si>
  <si>
    <t>Спецсвязь ОЦИТ</t>
  </si>
  <si>
    <t>Спецсвязь  (почта)</t>
  </si>
  <si>
    <t>Костанайской ОЦИТ</t>
  </si>
  <si>
    <t>Расходы на периодическую печать</t>
  </si>
  <si>
    <t xml:space="preserve"> г. Астана</t>
  </si>
  <si>
    <t>Астана (Мин. Фин., пр. Победы д.11)</t>
  </si>
  <si>
    <t xml:space="preserve">Астана (Бизнес-центр, 13 этаж) </t>
  </si>
  <si>
    <t xml:space="preserve">Астана (Бизнес-центр, 1,2 этаж) </t>
  </si>
  <si>
    <t xml:space="preserve">Астана (Бизнес-центр, 5 этаж) </t>
  </si>
  <si>
    <t>Аренда офисов ОЦИТ</t>
  </si>
  <si>
    <t>ГУ "Департамент казначейства по г. Астана"</t>
  </si>
  <si>
    <t>г. Алматы</t>
  </si>
  <si>
    <t>ГУ "Департамент Казначейства по Мангистауской области КК МФ РК"</t>
  </si>
  <si>
    <t>г. Актау</t>
  </si>
  <si>
    <t>Департамент казначейства по Атырауской области</t>
  </si>
  <si>
    <t>Департамент Юстиции по Атырауской области</t>
  </si>
  <si>
    <t>НК по Атырауской области</t>
  </si>
  <si>
    <t>г. Атырау</t>
  </si>
  <si>
    <t>ГУ "Комитет госимущества и приватизации МФ РК"</t>
  </si>
  <si>
    <t>г. Актобе</t>
  </si>
  <si>
    <t>г. Жезказган</t>
  </si>
  <si>
    <t xml:space="preserve">г. Талдыкорган </t>
  </si>
  <si>
    <t>ГУ "Департамент Казначейства по Карагандинской области"</t>
  </si>
  <si>
    <t>АО "Казтелерадио" Карагандинский ОДРТ</t>
  </si>
  <si>
    <t>г. Караганда</t>
  </si>
  <si>
    <t xml:space="preserve">г. Кокшетау </t>
  </si>
  <si>
    <t>г. Костанай</t>
  </si>
  <si>
    <t>Налоговый  комитет</t>
  </si>
  <si>
    <t>г. Кызылорда</t>
  </si>
  <si>
    <t>г. Петропавловск</t>
  </si>
  <si>
    <t>г. Павлодар</t>
  </si>
  <si>
    <t>г. Семей</t>
  </si>
  <si>
    <t>г. Усть-Каменогорск</t>
  </si>
  <si>
    <t>г. Аксай</t>
  </si>
  <si>
    <t>г. Уральк</t>
  </si>
  <si>
    <t>Аренда офисов ПП и АУП</t>
  </si>
  <si>
    <t>мест</t>
  </si>
  <si>
    <t>г. Кокшетау</t>
  </si>
  <si>
    <t>г. Шымкент</t>
  </si>
  <si>
    <t>г. Аркалык</t>
  </si>
  <si>
    <t>аренда стоянок</t>
  </si>
  <si>
    <t>Услуги наемного транспорта</t>
  </si>
  <si>
    <t>аренда грузового транспорта для утилизации списанного оборудования, ТБО</t>
  </si>
  <si>
    <t>Услуга</t>
  </si>
  <si>
    <t>Услуги по перевозке сотрудников</t>
  </si>
  <si>
    <t>доставка сотрудников 2 автобусами   на 50 мест до работы и обратно (утром и вечером, 4 часа)</t>
  </si>
  <si>
    <t>дополнительная развозка сотрудников в вечернее время (3 часа)</t>
  </si>
  <si>
    <t>Спецсвязь ПП и АУП</t>
  </si>
  <si>
    <t>Коммунальные (эксплуатационные) расходы</t>
  </si>
  <si>
    <t>Коммунальные (эксплуатационные) расходы ПП и АУП</t>
  </si>
  <si>
    <t>эксплуатационные расходы (Астана)</t>
  </si>
  <si>
    <t>эксплуатационные расходы (Астана, Серверные помещения)</t>
  </si>
  <si>
    <t>эксплуатационные расходы (Электроэнергия, Серверные посещения)</t>
  </si>
  <si>
    <t>Коммунальные расходы (Астанаэнергоссбыт, Су арнасы)</t>
  </si>
  <si>
    <t>Коммунальные расходы (КСК)</t>
  </si>
  <si>
    <t>Коммунальные (эксплуатационные) расходы Астана Дом Министерств</t>
  </si>
  <si>
    <t>Коммунальные (эксплуатационные) расходы ЦОД</t>
  </si>
  <si>
    <t>Западно -Казахстанская область</t>
  </si>
  <si>
    <t>Коммунальные (эксплуатационные) расходы ОЦИТ</t>
  </si>
  <si>
    <t>Электроэнергия (ЦОД)</t>
  </si>
  <si>
    <t xml:space="preserve">Жезказганское отделение Карагандинской области </t>
  </si>
  <si>
    <t>Проездные билеты</t>
  </si>
  <si>
    <t>Подготовка и повышение квалификации</t>
  </si>
  <si>
    <t>Страхование гражданско-правовой ответственности работодателя перед сотрудниками</t>
  </si>
  <si>
    <t>Страхование транспорта</t>
  </si>
  <si>
    <t>Страхование</t>
  </si>
  <si>
    <t xml:space="preserve">Медицинское страхование </t>
  </si>
  <si>
    <t xml:space="preserve">Страхование гражданско-правовой ответственности </t>
  </si>
  <si>
    <t>Субподрядные работы</t>
  </si>
  <si>
    <t xml:space="preserve">Мангистауский ОЦИТ </t>
  </si>
  <si>
    <t>Прочие расходы</t>
  </si>
  <si>
    <t xml:space="preserve">Абонементное обслуживание и информационное система "Интернет-магазин (стандарты, ИУС, журнал) </t>
  </si>
  <si>
    <t>Расходы по оформлению помещений ЦОД</t>
  </si>
  <si>
    <t>Расходы на пожарную сигнализацию ЦОД</t>
  </si>
  <si>
    <t>Расходы по обслуживанию электросетей ЦОД</t>
  </si>
  <si>
    <t xml:space="preserve"> Расходы по озеленению територии ЦОД</t>
  </si>
  <si>
    <t>Консультационные услуги</t>
  </si>
  <si>
    <t>Полиграфия</t>
  </si>
  <si>
    <t>Сувенирная продукция</t>
  </si>
  <si>
    <t>Проведение аудита</t>
  </si>
  <si>
    <t>Расходы на социально-культурные мероприятия</t>
  </si>
  <si>
    <t>Подарки (8 марта)</t>
  </si>
  <si>
    <t>подарки (в г. Астана)</t>
  </si>
  <si>
    <t>Подарки (8 марта) ОЦИТ</t>
  </si>
  <si>
    <t>Торжественное мероприятие (22 марта – Наурыз мейрамы)</t>
  </si>
  <si>
    <t xml:space="preserve">Торжественное мероприятие </t>
  </si>
  <si>
    <t>Подарки детям</t>
  </si>
  <si>
    <t>Подарки детям: набор конфет + игрушка (мягкая игрушка, конструктор, настольная игра)</t>
  </si>
  <si>
    <t xml:space="preserve">Аренда футбольного зала </t>
  </si>
  <si>
    <t>Типографские расходы</t>
  </si>
  <si>
    <t>Внешний жесткий диск</t>
  </si>
  <si>
    <t>Расходные материалы ОЦИТ</t>
  </si>
  <si>
    <t>ЮКОЦИТ</t>
  </si>
  <si>
    <t>Батарейка</t>
  </si>
  <si>
    <t>Кабель UTP 6E</t>
  </si>
  <si>
    <t>Оперативная память</t>
  </si>
  <si>
    <t>Перчатки</t>
  </si>
  <si>
    <t>Бумажные полотенца</t>
  </si>
  <si>
    <t>Туалетная бумага</t>
  </si>
  <si>
    <t>Жесткий диск</t>
  </si>
  <si>
    <t>Сетевой фильтр</t>
  </si>
  <si>
    <t>IP телефон</t>
  </si>
  <si>
    <t>Скотч</t>
  </si>
  <si>
    <t>Канцтовары ОЦИТ</t>
  </si>
  <si>
    <t>Книга учета</t>
  </si>
  <si>
    <t>Маркер</t>
  </si>
  <si>
    <t>Картридж</t>
  </si>
  <si>
    <t>Переносной HDD</t>
  </si>
  <si>
    <t>Компьютерная мышь</t>
  </si>
  <si>
    <t>Компьютерная мышь (беспроводные)</t>
  </si>
  <si>
    <t>Аккумуляторы 12В-155 Ач</t>
  </si>
  <si>
    <t>Воздушный фильтр кондиционера Emerson   PEX 1030</t>
  </si>
  <si>
    <t>Воздушный фильтр кондиционера Emerson   PEX 2070</t>
  </si>
  <si>
    <t>Воздушный фильтр кондиционера RС Group Pegasus</t>
  </si>
  <si>
    <t>Воздушный фильтр кондиционера RС Group Head Hunter</t>
  </si>
  <si>
    <t>Воздушный фильтр кондиционера STULZ ASD452G</t>
  </si>
  <si>
    <t>Этиленгликоль</t>
  </si>
  <si>
    <t>Кабель</t>
  </si>
  <si>
    <t>Коннектора</t>
  </si>
  <si>
    <t>Модуль</t>
  </si>
  <si>
    <t>Воздушный фильтр</t>
  </si>
  <si>
    <t>Переносной HDD 2 Тб</t>
  </si>
  <si>
    <t>USB 4 GB Flush drive</t>
  </si>
  <si>
    <t>Switch</t>
  </si>
  <si>
    <t>Халаты синие с логотипом</t>
  </si>
  <si>
    <t>Микрофон+наушники</t>
  </si>
  <si>
    <t>Картридж на принтер HP Laser Jet P2035</t>
  </si>
  <si>
    <t>Картридж на принтер HP 2015</t>
  </si>
  <si>
    <t>Фотобарабан</t>
  </si>
  <si>
    <t>Ролик переноса</t>
  </si>
  <si>
    <t>Комплект роликов</t>
  </si>
  <si>
    <t>Тонер</t>
  </si>
  <si>
    <t>Фьюзер</t>
  </si>
  <si>
    <t>Ремень переноса</t>
  </si>
  <si>
    <t>Накопитель</t>
  </si>
  <si>
    <t>Мышь для ноутбуков</t>
  </si>
  <si>
    <t>Печать</t>
  </si>
  <si>
    <t>Салфетки 24*24</t>
  </si>
  <si>
    <t>Бокалы для воды (стекло)</t>
  </si>
  <si>
    <t>Полотенца</t>
  </si>
  <si>
    <t>Вода питьевая</t>
  </si>
  <si>
    <t>Расходные материалы ПП и АУП</t>
  </si>
  <si>
    <t>Ключ</t>
  </si>
  <si>
    <t>Доска</t>
  </si>
  <si>
    <t>Бокалы</t>
  </si>
  <si>
    <t>Роза</t>
  </si>
  <si>
    <t>Маркер текстовыделитель</t>
  </si>
  <si>
    <t>Бланки приказов</t>
  </si>
  <si>
    <t>Канцтовары ПП и АУП</t>
  </si>
  <si>
    <t>Конверты</t>
  </si>
  <si>
    <t>Маркеры</t>
  </si>
  <si>
    <t>6</t>
  </si>
  <si>
    <t>6/1</t>
  </si>
  <si>
    <t>6/2</t>
  </si>
  <si>
    <t>6/3</t>
  </si>
  <si>
    <t>6/4</t>
  </si>
  <si>
    <t>6/5</t>
  </si>
  <si>
    <t>6/6</t>
  </si>
  <si>
    <t>6/7</t>
  </si>
  <si>
    <t>6/8</t>
  </si>
  <si>
    <t>7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</si>
  <si>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</si>
  <si>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</si>
  <si>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</si>
  <si>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</si>
  <si>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</si>
  <si>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</si>
  <si>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</si>
  <si>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</si>
  <si>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</si>
  <si>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8/1</t>
  </si>
  <si>
    <t>8/2</t>
  </si>
  <si>
    <t>8/3</t>
  </si>
  <si>
    <t>8/4</t>
  </si>
  <si>
    <t>8/5</t>
  </si>
  <si>
    <t>8/6</t>
  </si>
  <si>
    <t>8/7</t>
  </si>
  <si>
    <t>9</t>
  </si>
  <si>
    <t>9/1</t>
  </si>
  <si>
    <t>9/2</t>
  </si>
  <si>
    <t>9/3</t>
  </si>
  <si>
    <t>9/4</t>
  </si>
  <si>
    <t>9/5</t>
  </si>
  <si>
    <t>9/6</t>
  </si>
  <si>
    <t>9/7</t>
  </si>
  <si>
    <t>10/1</t>
  </si>
  <si>
    <t>10/2</t>
  </si>
  <si>
    <t>10/3</t>
  </si>
  <si>
    <t>12</t>
  </si>
  <si>
    <t>14</t>
  </si>
  <si>
    <t>23</t>
  </si>
  <si>
    <t>23/1</t>
  </si>
  <si>
    <t>23/2</t>
  </si>
  <si>
    <t>24/1</t>
  </si>
  <si>
    <t>24/2</t>
  </si>
  <si>
    <t>24/3</t>
  </si>
  <si>
    <t>24/4</t>
  </si>
  <si>
    <t>24/5</t>
  </si>
  <si>
    <t>24/6</t>
  </si>
  <si>
    <t>24/7</t>
  </si>
  <si>
    <t>24/8</t>
  </si>
  <si>
    <t>24/9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</si>
  <si>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</si>
  <si>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</si>
  <si>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</si>
  <si>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</si>
  <si>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</si>
  <si>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</si>
  <si>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</si>
  <si>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</si>
  <si>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24/18</t>
  </si>
  <si>
    <t>24/19</t>
  </si>
  <si>
    <t>25</t>
  </si>
  <si>
    <t>26</t>
  </si>
  <si>
    <t>26/1</t>
  </si>
  <si>
    <t>26/2</t>
  </si>
  <si>
    <t>26/3</t>
  </si>
  <si>
    <t>26/4</t>
  </si>
  <si>
    <t>26/5</t>
  </si>
  <si>
    <t>26/6</t>
  </si>
  <si>
    <t>27/1</t>
  </si>
  <si>
    <t>27/3</t>
  </si>
  <si>
    <t>28</t>
  </si>
  <si>
    <t>28/1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</si>
  <si>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</si>
  <si>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</si>
  <si>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</si>
  <si>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</si>
  <si>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</si>
  <si>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</si>
  <si>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</si>
  <si>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</si>
  <si>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</si>
  <si>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</si>
  <si>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28/12</t>
  </si>
  <si>
    <t>28/13</t>
  </si>
  <si>
    <t>28/14</t>
  </si>
  <si>
    <t>29</t>
  </si>
  <si>
    <t>30</t>
  </si>
  <si>
    <t>30/1</t>
  </si>
  <si>
    <t>31</t>
  </si>
  <si>
    <t>31/1</t>
  </si>
  <si>
    <t>31/2</t>
  </si>
  <si>
    <t>32</t>
  </si>
  <si>
    <t>32/1</t>
  </si>
  <si>
    <t>32/2</t>
  </si>
  <si>
    <t>32/3</t>
  </si>
  <si>
    <t>32/4</t>
  </si>
  <si>
    <t>32/5</t>
  </si>
  <si>
    <t>32/6</t>
  </si>
  <si>
    <t>32/7</t>
  </si>
  <si>
    <t>32/8</t>
  </si>
  <si>
    <t>32/9</t>
  </si>
  <si>
    <t>32/10</t>
  </si>
  <si>
    <t>32/11</t>
  </si>
  <si>
    <t>32/12</t>
  </si>
  <si>
    <t>32/13</t>
  </si>
  <si>
    <t>32/14</t>
  </si>
  <si>
    <t>36</t>
  </si>
  <si>
    <t>36/1</t>
  </si>
  <si>
    <t>36/2</t>
  </si>
  <si>
    <t>36/3</t>
  </si>
  <si>
    <t>36/4</t>
  </si>
  <si>
    <t>36/5</t>
  </si>
  <si>
    <t>36/6</t>
  </si>
  <si>
    <t>36/10</t>
  </si>
  <si>
    <t>36/11</t>
  </si>
  <si>
    <t>36/12</t>
  </si>
  <si>
    <t>36/13</t>
  </si>
  <si>
    <t>36/14</t>
  </si>
  <si>
    <t>36/15</t>
  </si>
  <si>
    <t>36/16</t>
  </si>
  <si>
    <t>37</t>
  </si>
  <si>
    <t>38</t>
  </si>
  <si>
    <t>39</t>
  </si>
  <si>
    <t>40</t>
  </si>
  <si>
    <t>41</t>
  </si>
  <si>
    <t>42</t>
  </si>
  <si>
    <t>44</t>
  </si>
  <si>
    <t>43</t>
  </si>
  <si>
    <t>45</t>
  </si>
  <si>
    <t>46</t>
  </si>
  <si>
    <t>Услуги технического обслуживания оборудования (ДГУ, ИБП, и т.д.)</t>
  </si>
  <si>
    <t>47</t>
  </si>
  <si>
    <t>48</t>
  </si>
  <si>
    <t>Х</t>
  </si>
  <si>
    <t>Итого</t>
  </si>
  <si>
    <t xml:space="preserve">Наименование закупаемых товаров, работ и услуг </t>
  </si>
  <si>
    <t>Способ закупки</t>
  </si>
  <si>
    <t>Товары, работы, услуги, приобретение которых должно осуществляться в соответствии с  правилами закупок</t>
  </si>
  <si>
    <t>Услуги по техническому обслуживанию оргтехники ПП и АУП</t>
  </si>
  <si>
    <t>Услуги заправки картриджей ПП и АУП</t>
  </si>
  <si>
    <t>Аренда футбольного зала</t>
  </si>
  <si>
    <t>Работа</t>
  </si>
  <si>
    <t>58/1</t>
  </si>
  <si>
    <t>58/2</t>
  </si>
  <si>
    <t>Мойка машин и химчистка</t>
  </si>
  <si>
    <t>Коммунальные расходы</t>
  </si>
  <si>
    <t>Компрессор</t>
  </si>
  <si>
    <t>Ремонт автотранспорта</t>
  </si>
  <si>
    <t xml:space="preserve">ОТ </t>
  </si>
  <si>
    <t>Запчасти и масла ПП и АУП</t>
  </si>
  <si>
    <t>Договора заключены</t>
  </si>
  <si>
    <t>Закуп в работе</t>
  </si>
  <si>
    <t>Примечание:</t>
  </si>
  <si>
    <t>Адаптер</t>
  </si>
  <si>
    <t>Патч-панель</t>
  </si>
  <si>
    <t>Тестер</t>
  </si>
  <si>
    <t>Мультиметр</t>
  </si>
  <si>
    <t>Расходные материалы</t>
  </si>
  <si>
    <t>Бумага офисная</t>
  </si>
  <si>
    <t>пачка</t>
  </si>
  <si>
    <t>Аккумулятор</t>
  </si>
  <si>
    <t>СМР Демозала</t>
  </si>
  <si>
    <t>58/3</t>
  </si>
  <si>
    <t>Комп.</t>
  </si>
  <si>
    <t>Сервер</t>
  </si>
  <si>
    <t>Товар</t>
  </si>
  <si>
    <t>Каска</t>
  </si>
  <si>
    <t xml:space="preserve">ПО для защиты серверного оборудования </t>
  </si>
  <si>
    <t>Защита серверов (6 лицензий) ЕНИС</t>
  </si>
  <si>
    <t>ПО по контролю и учету привелигированных учетных записей</t>
  </si>
  <si>
    <t>Продукт для управления сессиями привилегированных пользователей (PSM).</t>
  </si>
  <si>
    <t>Ноутбук ТИП 1</t>
  </si>
  <si>
    <t>Ноутбук ТИП 2</t>
  </si>
  <si>
    <t>Рабочая Станция ТИП 1</t>
  </si>
  <si>
    <t>Рабочая Станция ТИП 2</t>
  </si>
  <si>
    <t>Монитор 23</t>
  </si>
  <si>
    <t>МФУ</t>
  </si>
  <si>
    <t xml:space="preserve">Поточный сканер </t>
  </si>
  <si>
    <t>Принтер (цветной)</t>
  </si>
  <si>
    <t xml:space="preserve">IP - телефон </t>
  </si>
  <si>
    <t xml:space="preserve">Система голосового оповещения (СГО) </t>
  </si>
  <si>
    <t>Система хранения данных</t>
  </si>
  <si>
    <t xml:space="preserve">32Gb - 24шт ;   </t>
  </si>
  <si>
    <t>HP 3PAR 7200</t>
  </si>
  <si>
    <t xml:space="preserve">Процессор: Intel Core i7
</t>
  </si>
  <si>
    <t xml:space="preserve">Процессор: Intel Core i5
</t>
  </si>
  <si>
    <t xml:space="preserve">Тип матрицы:  TN+Film (TN)
Диагональ, дюйм:  От 23
</t>
  </si>
  <si>
    <t>Функции аппарата:  копирование, печать, сканирование</t>
  </si>
  <si>
    <t>Тип: планшетный Формат: А4 Разрешение (dpi): 600x600.</t>
  </si>
  <si>
    <t xml:space="preserve"> МФУ  4-цветная лазерная печать</t>
  </si>
  <si>
    <t xml:space="preserve">Системный IP телефон LIP-8002AE </t>
  </si>
  <si>
    <t xml:space="preserve">Принтер </t>
  </si>
  <si>
    <t>Т-60 U, 600W 5-ти зональный USB микширующий усилитель.</t>
  </si>
  <si>
    <t>Оперативная память для блейд-серверов</t>
  </si>
  <si>
    <t>Скорость черно-белой печати: Обычный режим: До 20 стр./мин.</t>
  </si>
  <si>
    <t>Тип: VoIP-телефон.</t>
  </si>
  <si>
    <t xml:space="preserve">Windows Server 2012 Standard </t>
  </si>
  <si>
    <t>ПО</t>
  </si>
  <si>
    <t>Антивирус (продление лицензии)</t>
  </si>
  <si>
    <t>Антивирус</t>
  </si>
  <si>
    <t>Рабочая станция тип 1</t>
  </si>
  <si>
    <t>Процессор: Intel Core i7.</t>
  </si>
  <si>
    <t>Рабочая станция тип 2</t>
  </si>
  <si>
    <t>Процессор: Intel Core i5</t>
  </si>
  <si>
    <t>Семипалатинское отделение ВК ОЦИТ</t>
  </si>
  <si>
    <t>Ноутбук тип 1</t>
  </si>
  <si>
    <t>Процессор: Intel Core i7</t>
  </si>
  <si>
    <t>Ноутбук тип 2</t>
  </si>
  <si>
    <t>Устройство принтер/сканер/копир/факс</t>
  </si>
  <si>
    <t>Принтер лазерный</t>
  </si>
  <si>
    <t xml:space="preserve"> 266 МГцб 25000 стр/мес</t>
  </si>
  <si>
    <t>Кондиционер сплит-система  с установкой</t>
  </si>
  <si>
    <t>Тип настенная сплит-система</t>
  </si>
  <si>
    <t>Кондиционер мобильный</t>
  </si>
  <si>
    <t>Кондиционер для помещений до 50кв.м.</t>
  </si>
  <si>
    <t>Монитор</t>
  </si>
  <si>
    <t>Диагональ 21,5’, разрешение 1920x1080.</t>
  </si>
  <si>
    <t xml:space="preserve">ИБП для сервера </t>
  </si>
  <si>
    <t>Время зарядки ИБП 3 h
Время работы при полной нагрузке 9.1 min</t>
  </si>
  <si>
    <t>Котел на газе</t>
  </si>
  <si>
    <t>Мощность 23.3   кВт,    Максимальная температура   60-85 с</t>
  </si>
  <si>
    <t>Наружное видеонаблюдение с установкой</t>
  </si>
  <si>
    <t>Костанайский ОЦИ</t>
  </si>
  <si>
    <t>Капитальный ремонт помещение</t>
  </si>
  <si>
    <t>Кресло для сотрудников</t>
  </si>
  <si>
    <t xml:space="preserve">Картотека </t>
  </si>
  <si>
    <t>Стулья Офисные</t>
  </si>
  <si>
    <t>Каркас металлический, на ножках имеются пластиковые заглушки. Спинка и сиденье с тыльной стороны защищены пластиковым чехлом. Цвет согласовывается с заказчиком. Срок гарантии: не менее 12 месяцев.</t>
  </si>
  <si>
    <t>Металлический стеллаж изготовлен из высококачественной стали. Покрытие порошковое полимерное. ВхШхГ (250х100х30 см). Шаг отверстий для крепления полок 25мм., не менее четырех полок. Срок гарантии: не менее 12 месяцев.</t>
  </si>
  <si>
    <t>Галант эрго Хромированные подлокотники, хромированная крестовина</t>
  </si>
  <si>
    <t>Металлический шкаф для хранения подвесных папок. Внешние размеры: Высота Х ширина Х глубина (мм) – 1330 Х 470 Х 630</t>
  </si>
  <si>
    <t>Шкаф для хранения ключей</t>
  </si>
  <si>
    <t>Корпус металлический, габариты 19см*19см*16см</t>
  </si>
  <si>
    <t>2 квартал 2016 года</t>
  </si>
  <si>
    <t>3 квартал 2016 года</t>
  </si>
  <si>
    <t>4 квартал 2016 года</t>
  </si>
  <si>
    <t>1 квартал 2016 года</t>
  </si>
  <si>
    <t>Аи 92</t>
  </si>
  <si>
    <t>Аи96</t>
  </si>
  <si>
    <t>Запчасти и масла на автомобиль Skoda SuperB</t>
  </si>
  <si>
    <t>Запчасти и масла на автомобиль Peugot 508</t>
  </si>
  <si>
    <t>Запчасти и масла на автомобиль Toyota Avensis</t>
  </si>
  <si>
    <t>Запчасти и масла на автомобиль Skoda Octavia A 7</t>
  </si>
  <si>
    <t>Запчасти и масла на автомобиль KIA Cerato</t>
  </si>
  <si>
    <t>Запчасти и масла на автомобиль Volkswagen Grafter</t>
  </si>
  <si>
    <t>Запчасти и масла на автомобиль IVEKO</t>
  </si>
  <si>
    <t>Шины (летние) на автомобиль  KIA Cerato</t>
  </si>
  <si>
    <t>Шины (зимние) на автомобиль KIA Cerato</t>
  </si>
  <si>
    <t>8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</si>
  <si>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</si>
  <si>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</si>
  <si>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</si>
  <si>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</si>
  <si>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</si>
  <si>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</si>
  <si>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</si>
  <si>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</si>
  <si>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</si>
  <si>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</si>
  <si>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</si>
  <si>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</si>
  <si>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</si>
  <si>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</si>
  <si>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</si>
  <si>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</si>
  <si>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</si>
  <si>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</si>
  <si>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</si>
  <si>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</si>
  <si>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</si>
  <si>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</si>
  <si>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</si>
  <si>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</si>
  <si>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</si>
  <si>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</si>
  <si>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</si>
  <si>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</si>
  <si>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</si>
  <si>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8/37</t>
  </si>
  <si>
    <t>8/38</t>
  </si>
  <si>
    <t>8/39</t>
  </si>
  <si>
    <t>8/40</t>
  </si>
  <si>
    <t>8/41</t>
  </si>
  <si>
    <t>8/42</t>
  </si>
  <si>
    <t>8/43</t>
  </si>
  <si>
    <t>8/44</t>
  </si>
  <si>
    <t>8/45</t>
  </si>
  <si>
    <t>8/46</t>
  </si>
  <si>
    <t>8/47</t>
  </si>
  <si>
    <t>8/48</t>
  </si>
  <si>
    <t>8/49</t>
  </si>
  <si>
    <t>8/50</t>
  </si>
  <si>
    <t>8/51</t>
  </si>
  <si>
    <t>8/52</t>
  </si>
  <si>
    <t>8/53</t>
  </si>
  <si>
    <t>8/54</t>
  </si>
  <si>
    <t>8/55</t>
  </si>
  <si>
    <t>8/56</t>
  </si>
  <si>
    <t>8/57</t>
  </si>
  <si>
    <t>8/58</t>
  </si>
  <si>
    <t>8/59</t>
  </si>
  <si>
    <t>8/60</t>
  </si>
  <si>
    <t>8/61</t>
  </si>
  <si>
    <t>8/62</t>
  </si>
  <si>
    <t>8/63</t>
  </si>
  <si>
    <t>8/64</t>
  </si>
  <si>
    <t>8/65</t>
  </si>
  <si>
    <t>8/66</t>
  </si>
  <si>
    <t>8/67</t>
  </si>
  <si>
    <t>8/68</t>
  </si>
  <si>
    <t>8/69</t>
  </si>
  <si>
    <t>8/70</t>
  </si>
  <si>
    <t>8/71</t>
  </si>
  <si>
    <t>8/72</t>
  </si>
  <si>
    <t>8/73</t>
  </si>
  <si>
    <t>8/74</t>
  </si>
  <si>
    <t>8/75</t>
  </si>
  <si>
    <t>8/76</t>
  </si>
  <si>
    <t>8/77</t>
  </si>
  <si>
    <t>8/78</t>
  </si>
  <si>
    <t>8/79</t>
  </si>
  <si>
    <t>8/80</t>
  </si>
  <si>
    <t>8/81</t>
  </si>
  <si>
    <t>8/82</t>
  </si>
  <si>
    <t>8/83</t>
  </si>
  <si>
    <t>8/84</t>
  </si>
  <si>
    <t>8/85</t>
  </si>
  <si>
    <t>8/86</t>
  </si>
  <si>
    <t>8/87</t>
  </si>
  <si>
    <t>8/88</t>
  </si>
  <si>
    <t>8/89</t>
  </si>
  <si>
    <t>8/90</t>
  </si>
  <si>
    <t>8/91</t>
  </si>
  <si>
    <t>8/92</t>
  </si>
  <si>
    <t>8/93</t>
  </si>
  <si>
    <t>Запчасти и масла на автомобиль ВАЗ- 21043</t>
  </si>
  <si>
    <t>Запчасти и масла на автомобиль ВАЗ-21041</t>
  </si>
  <si>
    <t>Запчасти и масла на автомобиль ВАЗ-21213</t>
  </si>
  <si>
    <t>Запчасти и масла на автомобиль ГАЗ 2752-114</t>
  </si>
  <si>
    <t>Запчасти и масла на автомобиль KIA Sportage</t>
  </si>
  <si>
    <t xml:space="preserve">Семипалатинское отделение  ВК ОЦИТ </t>
  </si>
  <si>
    <t>Запчасти и масла на автомобиль Chevrolet Cruze</t>
  </si>
  <si>
    <t>Запчасти и масла на автомобиль  повышенной проходимости</t>
  </si>
  <si>
    <t>Шины (зимние) на автомобиль Chevrolet Cruze</t>
  </si>
  <si>
    <t>Шины (летние) на автомобиль Mitsubichi L200</t>
  </si>
  <si>
    <t>Шины (зимние) на автомобиль Mitsubichi L200</t>
  </si>
  <si>
    <t>Шины (зимние) на автомобиль KIA Sorento</t>
  </si>
  <si>
    <t>Шины (летние) на автомобиль KIA Sorento</t>
  </si>
  <si>
    <t xml:space="preserve">Семипалатинское отделение ВКО ЦИТ </t>
  </si>
  <si>
    <t>Шины (летние) на автомобиль KIA Sportage</t>
  </si>
  <si>
    <t>Шины (зимние) на автомобиль KIA Sportage</t>
  </si>
  <si>
    <t>Шины (летние) на автомобиль ВАЗ</t>
  </si>
  <si>
    <t>Шины (летние) на автомобиль ГАЗ</t>
  </si>
  <si>
    <t>Шины (зимние) на автомобиль ВАЗ</t>
  </si>
  <si>
    <t>Шины (зимние) на автомобиль ГАЗ</t>
  </si>
  <si>
    <t>Шины (зимние) на автомобиль повышенной проходимости</t>
  </si>
  <si>
    <t>8/94</t>
  </si>
  <si>
    <t>8/95</t>
  </si>
  <si>
    <t>8/96</t>
  </si>
  <si>
    <t>8/97</t>
  </si>
  <si>
    <t>8/98</t>
  </si>
  <si>
    <t>8/99</t>
  </si>
  <si>
    <t>8/100</t>
  </si>
  <si>
    <t>8/101</t>
  </si>
  <si>
    <t>8/102</t>
  </si>
  <si>
    <t>8/103</t>
  </si>
  <si>
    <t>8/104</t>
  </si>
  <si>
    <t>8/105</t>
  </si>
  <si>
    <t>8/106</t>
  </si>
  <si>
    <t>Аренда офиса (Дом Министерств)</t>
  </si>
  <si>
    <t>СИС ЦИТ по г. Астана</t>
  </si>
  <si>
    <t>СТО КГД ЦИТ по г. Астана</t>
  </si>
  <si>
    <t>ГУ "Департамент государственных доходов по Карагандинской области"</t>
  </si>
  <si>
    <t>ГУ Департамент юстиции Акмолинской области</t>
  </si>
  <si>
    <t>ГУ "Департамент госдоходов Акмолинской области"</t>
  </si>
  <si>
    <t>ГУ "Департамент юстиции Акмолинской области"</t>
  </si>
  <si>
    <t>Департамент Юстиции по СКО</t>
  </si>
  <si>
    <t>РО ДИС Казактелеком</t>
  </si>
  <si>
    <t>ДГД (Департамент гос доходов) - область</t>
  </si>
  <si>
    <t>ДГД (Департамент гос доходов) - город</t>
  </si>
  <si>
    <t>Деп гос имущества  и приватизации</t>
  </si>
  <si>
    <t>КГиП (ДЮ)</t>
  </si>
  <si>
    <t>аренда стоянок (АУП)</t>
  </si>
  <si>
    <t>аренда стоянок (ПП)</t>
  </si>
  <si>
    <t>аренда стоянок (ЦИТ по г. Астана)</t>
  </si>
  <si>
    <t>Проездные билеты (ЦИТ по г. Астана)</t>
  </si>
  <si>
    <t>эксплуатационные расходы (МФ)</t>
  </si>
  <si>
    <t>Коммунальные расходы ОЦИТ</t>
  </si>
  <si>
    <t>Департамент юстиции по СКО</t>
  </si>
  <si>
    <t>ГУ Департамент госдоходов Акмолинской области</t>
  </si>
  <si>
    <t xml:space="preserve">            Департамент госдоходов</t>
  </si>
  <si>
    <t>Департамент гос имущества и приватизации</t>
  </si>
  <si>
    <t>Семипалатинское отделение ВКО</t>
  </si>
  <si>
    <t>ГУ "Межрег. департ. госимущ. и приватиз"</t>
  </si>
  <si>
    <t>Ремонт автотранспорта Skoda Octavia</t>
  </si>
  <si>
    <t>Ремонт автотранспорта Skoda Superb B6</t>
  </si>
  <si>
    <t>Ремонт автотранспорта Toyota Avensis</t>
  </si>
  <si>
    <t>Ремонт автотранспорта Kia Cerato</t>
  </si>
  <si>
    <t>Ремонт автотранспорта IVECO</t>
  </si>
  <si>
    <t>Ремонт автотранспорта Wolksvagen Crafter</t>
  </si>
  <si>
    <t>Ремонт автотранспорта Peugeot 508</t>
  </si>
  <si>
    <t>Ремонт автотранспорта ВАЗ</t>
  </si>
  <si>
    <t>Ремонт автотранспорта ГАЗ</t>
  </si>
  <si>
    <t>Ремонт автотранспорта KIA</t>
  </si>
  <si>
    <t>Ремонт автотранспорта Chevrolet Cruze</t>
  </si>
  <si>
    <t>Ремонт автотранспорта повышенной проходимости</t>
  </si>
  <si>
    <t>Плата за резервирование республиканского порта VPN</t>
  </si>
  <si>
    <t xml:space="preserve"> Размещения оборудования в стойке </t>
  </si>
  <si>
    <t>Подключение к порту по инфраструктуре Оператор ЕТС ГО</t>
  </si>
  <si>
    <t>Предоставление доступа к сети республиканского IP VPN без учета трафика с пропускной способностью 14 Мбит/с, ТП "Т1", от Серверного центра НИТ до ЦОД</t>
  </si>
  <si>
    <t>Предоставление доступа к сети республиканского IP VPN без учета трафика  с пропускной способностью 2 Мбит/с, ТП "Т1", от ЦОД до Серверного центра НИТ</t>
  </si>
  <si>
    <t>Предоставление доступа к сети республиканского IP VPN без учета трафика с пропускной способностью 2 Мбит/с,  ТП "Т1", от ЦИТ до Серверного центра НИТ</t>
  </si>
  <si>
    <t>Предоставление доступа к сети республиканского IP VPN без учета трафика  с пропускной способностью 256 Кбит/с, ТП "Т1", от ЦИТ до Серверного центра НИТ</t>
  </si>
  <si>
    <t>Предоставление канала связи с пропускной способностью 2 Мбит/с, ТП "К1", от Акимата/ОДТ до ЦОД</t>
  </si>
  <si>
    <t xml:space="preserve">Стоимость установки </t>
  </si>
  <si>
    <t>Услуги установки</t>
  </si>
  <si>
    <t>Кабельное телевещание</t>
  </si>
  <si>
    <t>ЦИТ по г.Астана</t>
  </si>
  <si>
    <t>Зеркало навесное</t>
  </si>
  <si>
    <t>Краска(эмульсия для кабинета)</t>
  </si>
  <si>
    <t>Переносной HDD  1000Gb</t>
  </si>
  <si>
    <t>USB 32 GB Flash drive</t>
  </si>
  <si>
    <t>Сумка для ноутбука</t>
  </si>
  <si>
    <t>Клавиатура (без проводная) + мышь (без проводная)</t>
  </si>
  <si>
    <t>Тонер C-EXV33</t>
  </si>
  <si>
    <t>LAN тестер Ship G468 для RJ-45, RJ-11</t>
  </si>
  <si>
    <t>Обжимной инструмент Ship G207 RJ-45/RJ-11/RJ-12/RJ-9</t>
  </si>
  <si>
    <t>RJ-45 коннектор</t>
  </si>
  <si>
    <t xml:space="preserve">Mosaic RJ-45 (информационная розетка) кат 5е </t>
  </si>
  <si>
    <t>Кабель канал в комплекте</t>
  </si>
  <si>
    <t>Кабель UTP 5E Cat 305m, 4-пары, D135-P, 4*2*1/0.50mm</t>
  </si>
  <si>
    <t>Набор инструментов Pro'sKit 1PK-710KB</t>
  </si>
  <si>
    <t>оптический кабель, ОК-24, 24 жилы, многомод</t>
  </si>
  <si>
    <t>Оптическая патч-панель, ММ, 48 портовый</t>
  </si>
  <si>
    <t>Оптическая патч-панель, SМ, 48 портовый</t>
  </si>
  <si>
    <t>Ethernet патч-панель, 24 портовый, 6 категории</t>
  </si>
  <si>
    <t xml:space="preserve">Видео карта </t>
  </si>
  <si>
    <t>Холодильник</t>
  </si>
  <si>
    <t>Микроволновая печь</t>
  </si>
  <si>
    <t>Электрочайник</t>
  </si>
  <si>
    <t>Рация с наушниками</t>
  </si>
  <si>
    <t>Бахилы в кассетах (200 шт./ уп.)</t>
  </si>
  <si>
    <t>HP Black Print Cartridge for LaserJet 1102/1132/1212, up to 1600 pages (CE285A)</t>
  </si>
  <si>
    <t xml:space="preserve">HP Black Print Cartridge for LaserJet s (HP 436A ) </t>
  </si>
  <si>
    <t>картриджей HP ColorLaserJet CP5225n</t>
  </si>
  <si>
    <t>картриджей HP ColorLaserJet CP5225n – black</t>
  </si>
  <si>
    <t xml:space="preserve">Коннектора RJ-45, </t>
  </si>
  <si>
    <t xml:space="preserve">жесткий диск (USB)внешний  не мение 1 tb </t>
  </si>
  <si>
    <t>Картридж HP CF350A-Black,1300 pages,HP LaserJet Pro MFP M176,MFP M177</t>
  </si>
  <si>
    <t>Картридж HP CF350A-Cyan,1300 pages,HP LaserJet Pro MFP M176,MFP M178</t>
  </si>
  <si>
    <t>Картридж HP CF350A-Yellow,1300 pages,HP LaserJet Pro MFP M176,MFP M179</t>
  </si>
  <si>
    <t>Картридж HP CF350A-Magenta,1300 pages,HP LaserJet Pro MFP M176,MFP M180</t>
  </si>
  <si>
    <t xml:space="preserve">Картридж на принтер Samsung ML 2250 (2580)  </t>
  </si>
  <si>
    <t xml:space="preserve">Картридж HP CE740A (black) на принтер HP Color LaserJet Professional CP5225n(CE711A) </t>
  </si>
  <si>
    <t xml:space="preserve">Картридж HP CE740A (cyan) на принтер HP Color LaserJet Professional CP5225n(CE711A) </t>
  </si>
  <si>
    <t xml:space="preserve">Картридж HP CE740A (yellow) на принтер HP Color LaserJet Professional CP5225n(CE711A) </t>
  </si>
  <si>
    <t xml:space="preserve">Картридж HP CE740A (magenta) на принтер HP Color LaserJet Professional CP5225n(CE711A) </t>
  </si>
  <si>
    <t>картридж принт(HP LaserJet Pro M1536dnf MFP)</t>
  </si>
  <si>
    <t>Картридж на принтер HP LaserJet Professional P1102w</t>
  </si>
  <si>
    <t>Переносной HDD 1 Тб</t>
  </si>
  <si>
    <t>Switch (24)</t>
  </si>
  <si>
    <t>USB Flash 3.0</t>
  </si>
  <si>
    <t>Внешний жесткий диск 1тб, USB3.0</t>
  </si>
  <si>
    <t>Краска</t>
  </si>
  <si>
    <t>Видеокарта</t>
  </si>
  <si>
    <t>Обжимной инструмент</t>
  </si>
  <si>
    <t>Коннектор</t>
  </si>
  <si>
    <t>Информационная розетка</t>
  </si>
  <si>
    <t>Оптический кабель</t>
  </si>
  <si>
    <t>Оптическая патч-панель</t>
  </si>
  <si>
    <t>Бахилы в кассетах</t>
  </si>
  <si>
    <t>Уп.</t>
  </si>
  <si>
    <t>Раскладушка</t>
  </si>
  <si>
    <t>Компьютерная мышь (USB)</t>
  </si>
  <si>
    <t>Компьютерная клавиатура</t>
  </si>
  <si>
    <t>Компьютерная клавиатура (беспроводные)</t>
  </si>
  <si>
    <t>Халат</t>
  </si>
  <si>
    <t>Средство для чистки мониторов</t>
  </si>
  <si>
    <t>USB Флешка 32Gb</t>
  </si>
  <si>
    <t>Патчкорд</t>
  </si>
  <si>
    <t>Утепленная спецодежда</t>
  </si>
  <si>
    <t>Ботинки</t>
  </si>
  <si>
    <t>Устройство прозвонки кабеля</t>
  </si>
  <si>
    <t>Плоскогубцы</t>
  </si>
  <si>
    <t>Кабельрез</t>
  </si>
  <si>
    <t>Монтажный нож</t>
  </si>
  <si>
    <t>Перчатки х/б простые (Е-Сапа)</t>
  </si>
  <si>
    <t>Рукавицы брезентовые с брезентовым наладонником пл. 550 гр (KPS)  (Е-Сапа)</t>
  </si>
  <si>
    <t>Перчатки Винтер Вокер ( при пониженной темп.)  (Е-Сапа)</t>
  </si>
  <si>
    <t>Шапка трикотажная полушерстяная на ФЛИСОВОЙ ПОДКЛАДКЕ (Е-Сапа)</t>
  </si>
  <si>
    <t>Спецодежда летняя (Е-Сапа)</t>
  </si>
  <si>
    <t>Утепленная спецодежда (Е-Сапа)</t>
  </si>
  <si>
    <t>Ботинки (Е-Сапа)</t>
  </si>
  <si>
    <t>Сапоги УНИВЕРСАЛ с мех. чулком  (Е-Сапа)</t>
  </si>
  <si>
    <t>Металлический шкаф для хранения инструментов (Е-Сапа)</t>
  </si>
  <si>
    <t>Набор инструментов для обжимки RJ11,RJ12,RJ45 (Е-Сапа)</t>
  </si>
  <si>
    <t>Тестер витой пары RJ11,RJ12,RJ45 (Е-Сапа)</t>
  </si>
  <si>
    <t>Устройство прозвонки кабеля (Е-Сапа)</t>
  </si>
  <si>
    <t>Мультиметр (Е-Сапа)</t>
  </si>
  <si>
    <t>Набор отверток с цветными рукоятками (Е-Сапа)</t>
  </si>
  <si>
    <t>Плоскогубцы (205мм) (Е-Сапа)</t>
  </si>
  <si>
    <t>Паяльник, работающий от батареи (Е-Сапа)</t>
  </si>
  <si>
    <t>Пресс-клещи для RJ-45, RJ-12, RJ-11 (Е-Сапа)</t>
  </si>
  <si>
    <t>Плоскогубцы (Е-Сапа)</t>
  </si>
  <si>
    <t>Набор шестигранных ключей (1.5,2,2.5,3,4,5,6,8,10мм)  (Е-Сапа)</t>
  </si>
  <si>
    <t>Кабельрез (Е-Сапа)</t>
  </si>
  <si>
    <t>Монтажный нож (Е-Сапа)</t>
  </si>
  <si>
    <t>Лезвия запасные для монтажного ножа (Е-Сапа)</t>
  </si>
  <si>
    <t>Ключ разводной (Е-Сапа)</t>
  </si>
  <si>
    <t>Адаптер модульный RJ-11/"контактные площадки" (Е-Сапа)</t>
  </si>
  <si>
    <t>Сумка для инструментов с 3 палетами (Е-Сапа)</t>
  </si>
  <si>
    <t>Рукавицы</t>
  </si>
  <si>
    <t>Каска с очками  (Е-Сапа)</t>
  </si>
  <si>
    <t>Шапка</t>
  </si>
  <si>
    <t>Спецодежда</t>
  </si>
  <si>
    <t>Сапоги</t>
  </si>
  <si>
    <t>Металлический шкаф</t>
  </si>
  <si>
    <t>Набор отверток</t>
  </si>
  <si>
    <t>Паяльник</t>
  </si>
  <si>
    <t>Пресс-клещи</t>
  </si>
  <si>
    <t>Лезвия</t>
  </si>
  <si>
    <t>Сумка</t>
  </si>
  <si>
    <t>комплект роликов подачи 1 лотка WCC 7120/7425/7435/7556</t>
  </si>
  <si>
    <t>Комплект роликов DADF (F/N/R) WC 123/133/5225/5230</t>
  </si>
  <si>
    <t>Комплект роликов подачи из лотков Ph7760/DC3535/123/5225/7132/7242</t>
  </si>
  <si>
    <t>WCC 7425 Контейнер отработанного тонера/7530-7556/7425-7435/</t>
  </si>
  <si>
    <t>WCC 7425 Тонер картридж ГОЛУБОЙ/7428-7435/</t>
  </si>
  <si>
    <t>WCC 7425 Тонер картридж ЖЕЛТЫЙ/7428-7435/</t>
  </si>
  <si>
    <t>WCC 7425 Тонер картридж ПУРПУРНЫЙ/7428-7435/</t>
  </si>
  <si>
    <t>WCC 7425 Тонер картридж ЧЕРНЫЙ/7428-7435/</t>
  </si>
  <si>
    <t>WCC 7425 Фьюзер (200к) 7428-7435</t>
  </si>
  <si>
    <t>WCC 7425 Узел ролика 2 переноса (200к) /7425/7428/7435/7545/7556/</t>
  </si>
  <si>
    <t>Комплект роликов DADF (F/N/R0 WC123/133/5225/5230/7132/7242</t>
  </si>
  <si>
    <t>Комплект роликов подачи 1-го лотка WCC7120/7425/7428/7435</t>
  </si>
  <si>
    <t>Ремень переноса РН7500/7425</t>
  </si>
  <si>
    <t>Узел отчистки ремня переноса в сборе WCP7425/7428/7435</t>
  </si>
  <si>
    <t>Аккумуляторы 12В-7Ач</t>
  </si>
  <si>
    <t>Кабель ВВГнг-LS 5x2,5 кв.мм.</t>
  </si>
  <si>
    <t>Контактор А12-30-10.  24В</t>
  </si>
  <si>
    <t xml:space="preserve">Ремень привода вентилятора на прецизионный кондиционер  Liebert   PEX 1030  </t>
  </si>
  <si>
    <t xml:space="preserve">Ремень привода вентилятора на прецизионный кондиционер  Liebert   PEX 2070  </t>
  </si>
  <si>
    <t>Компрессор ZR108</t>
  </si>
  <si>
    <t>Лампы люминесцентные 54 Вт</t>
  </si>
  <si>
    <t>Лампы люминесцентные 36 Вт</t>
  </si>
  <si>
    <t>Лампы светодиодные  94391</t>
  </si>
  <si>
    <t>Стартер 220В СК220-240V (4-80W)</t>
  </si>
  <si>
    <t>Подставки трехступенчатые</t>
  </si>
  <si>
    <t xml:space="preserve">Соль таблетированная </t>
  </si>
  <si>
    <t>Спецодежда в комплекте (куртка + комбинезон)</t>
  </si>
  <si>
    <t>Вентилятор наружного блока кондиционера Emerson PEX2070</t>
  </si>
  <si>
    <t>Фреон R-407 11,3 кг</t>
  </si>
  <si>
    <t xml:space="preserve">Дизельное топливо </t>
  </si>
  <si>
    <t>Аппарат для надевания бахил BXG-ASC-100</t>
  </si>
  <si>
    <t>Модуль ЕТН for PM130</t>
  </si>
  <si>
    <t xml:space="preserve">Вентиляторы для градирни </t>
  </si>
  <si>
    <t>Электродвигатель вентиляторов кондиционера</t>
  </si>
  <si>
    <t>Тонер картридж</t>
  </si>
  <si>
    <t>Ролик</t>
  </si>
  <si>
    <t>Тонер-картридж</t>
  </si>
  <si>
    <t>Фьюзер и узел отчистки</t>
  </si>
  <si>
    <t>Ролик второго переноса</t>
  </si>
  <si>
    <t>Ролики подачи лотков</t>
  </si>
  <si>
    <t>Контейнер отработанного тонера</t>
  </si>
  <si>
    <t>Узел ролика</t>
  </si>
  <si>
    <t>Узел отчистки ремня</t>
  </si>
  <si>
    <t>Контактор</t>
  </si>
  <si>
    <t>Ремень привода</t>
  </si>
  <si>
    <t>Лампы люминесцентные</t>
  </si>
  <si>
    <t>Лампы светодиодные</t>
  </si>
  <si>
    <t>Стартер</t>
  </si>
  <si>
    <t>Спецодежда в комплекте</t>
  </si>
  <si>
    <t>Фреон</t>
  </si>
  <si>
    <t>Аппарат для надевания бахил</t>
  </si>
  <si>
    <t>Электродвигатель</t>
  </si>
  <si>
    <t>ЗиП для системы контроля управления доступом и истемы видеонаблюдения</t>
  </si>
  <si>
    <t>Картриджи</t>
  </si>
  <si>
    <t>Полотенца для посуды 35*30 (хлопок)</t>
  </si>
  <si>
    <t>Полотенца для рук 50*90 (бамбук)</t>
  </si>
  <si>
    <t xml:space="preserve">Бумажный одноразовый фильтр для кофеварки </t>
  </si>
  <si>
    <t>Туалетная бумага 8 слойная по 6 шт</t>
  </si>
  <si>
    <t xml:space="preserve">Вода питьевая, фасованная в пластиковый бутыль (19 л) </t>
  </si>
  <si>
    <t xml:space="preserve">Оперативная память(2Gb,DDR-2) </t>
  </si>
  <si>
    <t xml:space="preserve">Оперативная память(2Gb,DDR-3) </t>
  </si>
  <si>
    <t>Настольный светильник</t>
  </si>
  <si>
    <t>Бумажный одноразовый фильтр</t>
  </si>
  <si>
    <t>Тюльпаны</t>
  </si>
  <si>
    <t>Гербера</t>
  </si>
  <si>
    <t>Хризантема</t>
  </si>
  <si>
    <t>Лилия</t>
  </si>
  <si>
    <t>Комплект для пропускных карт</t>
  </si>
  <si>
    <t>Картриджи (лимит ПП)</t>
  </si>
  <si>
    <t>Накопитель (лимит АУП)</t>
  </si>
  <si>
    <t>ЦИТ г.Астана</t>
  </si>
  <si>
    <t>Алматинский ЦИТ</t>
  </si>
  <si>
    <t>Актюбинский ЦИТ</t>
  </si>
  <si>
    <t>Атырауский ЦИТ</t>
  </si>
  <si>
    <t>Акмолинский ЦИТ</t>
  </si>
  <si>
    <t>Карагандинский ЦИТ</t>
  </si>
  <si>
    <t>Костанайский ЦИТ, Аркалыкское отделение</t>
  </si>
  <si>
    <t>Кызылординский ЦИТ</t>
  </si>
  <si>
    <t>Павлодарский ЦИТ</t>
  </si>
  <si>
    <t>Жамбылский ЦИТ</t>
  </si>
  <si>
    <t>ЗКОЦИТ, Аксайское отделение</t>
  </si>
  <si>
    <t>Расходные материалы( лимит)</t>
  </si>
  <si>
    <t>Расходные материалы (сверх лимита)</t>
  </si>
  <si>
    <t>Доска маркер./магн.120х180</t>
  </si>
  <si>
    <t>Скотч 60х150</t>
  </si>
  <si>
    <t>Вкладыш файл</t>
  </si>
  <si>
    <t>Книга учета А4 (амбарная)</t>
  </si>
  <si>
    <t>Мастика для печати</t>
  </si>
  <si>
    <t>Маркеры перман.</t>
  </si>
  <si>
    <t>Личная карточка  ф.12</t>
  </si>
  <si>
    <t>Личный листок</t>
  </si>
  <si>
    <t>Личная карточка</t>
  </si>
  <si>
    <t>Бумага офисная А3 500 л</t>
  </si>
  <si>
    <t>Бумага офисная А4 матовая 250л + (лимит АУП)</t>
  </si>
  <si>
    <t>Бумага офисная А4 500 л + (лимит ПП)</t>
  </si>
  <si>
    <t>ВКОЦИТ/Усть-Каменогорск</t>
  </si>
  <si>
    <t>Северо-Казахстанская область/ Петропавловск</t>
  </si>
  <si>
    <t>Страхование движимого имущества и недвижимого имущества (14 ЦОД)</t>
  </si>
  <si>
    <t>Страхование движимого имущества и недвижимого имущества</t>
  </si>
  <si>
    <t>Системно-техническое обслуживание программно-технических средств, администрирование информационных систем Налогового Комитета  МФ РК</t>
  </si>
  <si>
    <t>Системно-техническое обслуживание программно-технических средств</t>
  </si>
  <si>
    <t>КК МФ РК услуги технической поддержки серверного оборудования</t>
  </si>
  <si>
    <t>Услуги стандартной и расширенной технической поддержки программных продуктов Oracle Applications</t>
  </si>
  <si>
    <t>Услуги стандартной и расширенной технической поддержки программных продуктов</t>
  </si>
  <si>
    <t xml:space="preserve">Услуги по сервисному обслуживанию системы кондиционирования и электроснабжения серверных помещений МФ РК </t>
  </si>
  <si>
    <t>Услуги по сервисному обслуживанию системы кондиционирования и электроснабжения</t>
  </si>
  <si>
    <t xml:space="preserve">Абонентское обслуживание 1С:Бухгалтерия </t>
  </si>
  <si>
    <t>Лицензия СЭД</t>
  </si>
  <si>
    <t>Сопровождение ERP-системы</t>
  </si>
  <si>
    <t>Услуги заправки картриджей</t>
  </si>
  <si>
    <t>Услуги сопровождения  ИС</t>
  </si>
  <si>
    <t xml:space="preserve"> Предоставление локальной вычислительной сети и сетевых сервисов
</t>
  </si>
  <si>
    <t>Услуги телефонной связи</t>
  </si>
  <si>
    <t>Услуги заправки цветных картриджей</t>
  </si>
  <si>
    <t>Услуги по защите от компьютерных вирусов</t>
  </si>
  <si>
    <t>Услуги ИТ-Аутсорсинга</t>
  </si>
  <si>
    <t>Услуги по системно-техническому обслуживанию серверного оборудования  центрального узла, 14 областных узлов и узлов г.г. Астана, Алматы ИСЭО</t>
  </si>
  <si>
    <t>Услуги по сопровождению ИСЭО</t>
  </si>
  <si>
    <t>Услуги по системно-техническому обслуживанию серверного оборудования</t>
  </si>
  <si>
    <t>Услуга по тиражированию и сопровождению прикладного программного обеспечения «Региональный шлюз</t>
  </si>
  <si>
    <t>Услуги по сопровождению единой системы электронного документооборота</t>
  </si>
  <si>
    <t>Сопровождение ЕСЭДО</t>
  </si>
  <si>
    <t>Сопровождение ПО ЕСЭДО</t>
  </si>
  <si>
    <t>Услуги по сопровождению программного обеспечения единой системы электронного документооборота в государственных учреждениях акимата</t>
  </si>
  <si>
    <t>Сопровождение ЕСЭДО и СТО компьютерных оборудовании</t>
  </si>
  <si>
    <t>Услуги по тиражированию и сопровождению программного обеспечения информационной системы "Региональный шлюз, как подсистемы шлюза "электронного правительства" (ИС РШЭП)</t>
  </si>
  <si>
    <t>Ссопровождению РШЭП</t>
  </si>
  <si>
    <t>Услуга по тиражированию и сопровождению прикладного программного обеспечения "Региональный шлюз"</t>
  </si>
  <si>
    <t>Сопровождение ППО ПЭП, ШЭП и РШЭП</t>
  </si>
  <si>
    <t>техническая поддержка прикладного программного обеспечения ИС ГБД «Е-лицензирование»</t>
  </si>
  <si>
    <t xml:space="preserve">Администрирование и сопровождение прикладного программного обоспечения и администрирование системного программного обеспечения </t>
  </si>
  <si>
    <t>Разработка ИС "Е-адвокат"</t>
  </si>
  <si>
    <t>Сопровождение программного кода ГБД РН МЮ РК</t>
  </si>
  <si>
    <t>Техническая поддержка прикладного программного обеспечения ИС ГБД «Е-лицензирование»</t>
  </si>
  <si>
    <t>Технологии считывания кода Codentify – обязательной технологии для мобильного приложения проверки табачной продукции</t>
  </si>
  <si>
    <t>Аттестация центрального узла одной информационной системы</t>
  </si>
  <si>
    <t xml:space="preserve">Услуги по доработке программного кода ГБД ЮЛ </t>
  </si>
  <si>
    <t>Услуг технической поддержки лицензионного программного обеспеченияи услуг по внедрению программного комплекса информационной безопасности</t>
  </si>
  <si>
    <t>Сопровождение Системы электронного документооборота</t>
  </si>
  <si>
    <t>Внедрение СЭД и аренда программного обеспечения СЭД</t>
  </si>
  <si>
    <t>РГП "ЦОН"</t>
  </si>
  <si>
    <t>РГКП «Регистр судоходства Казахстана» Комитета транспорта МИР РК</t>
  </si>
  <si>
    <t>АО "НУХ "Байтерек"</t>
  </si>
  <si>
    <t>АО «Национальное агентство по технологическому развитию»</t>
  </si>
  <si>
    <t>АО "Байтерек девелопмент"</t>
  </si>
  <si>
    <t>ТОО «Центр сопровождения проектов государственно-частного партнерства»</t>
  </si>
  <si>
    <t>АО «Экспортно-кредитная страховая компания «КазЭкспортГарант»</t>
  </si>
  <si>
    <t>АО «Казына Капитал Менеджмент»</t>
  </si>
  <si>
    <t>АО «Казахстанский Фонд гарантирования ипотечных  кредитов»</t>
  </si>
  <si>
    <t>АО "KazSatNet"</t>
  </si>
  <si>
    <t>Разработка технического задания на НГИС</t>
  </si>
  <si>
    <t>Услуги сторонних организаций</t>
  </si>
  <si>
    <t xml:space="preserve">Комплексная техническая поддержка, включая поддержку производителя и удаленное администирование по продуктам Naumen Service Desk </t>
  </si>
  <si>
    <t xml:space="preserve">Мобильный интернет для организации мониторинга </t>
  </si>
  <si>
    <t xml:space="preserve">Продление: система управления корпоративным порталом </t>
  </si>
  <si>
    <t>Абонементное обслуживание и информационное система "Интернет-магазин"</t>
  </si>
  <si>
    <t>Тех. поддержка системы автоматизации бизнес-процессов АО "НИТ"</t>
  </si>
  <si>
    <t xml:space="preserve"> Охрана помещений  ЦОД и пожарная сигнализация</t>
  </si>
  <si>
    <t>Услуги технического обслуживания оборудования</t>
  </si>
  <si>
    <t>Ремонт здания (ремонт отопительной, газовой системы, электропроводки, стеклопакета, покрытия и др)</t>
  </si>
  <si>
    <t>Ремонт здания</t>
  </si>
  <si>
    <t>Вывоз снега</t>
  </si>
  <si>
    <t xml:space="preserve"> Услуги по вывозу и утилизации списанной вычислительной и оргтехники</t>
  </si>
  <si>
    <t>Услуги по укладке брусчатки на территории объекта и устройства парковки возле объекта</t>
  </si>
  <si>
    <t xml:space="preserve">Сервис-контракты на активное сетевые оборудования </t>
  </si>
  <si>
    <t>Эксплуатационные услуги по обслуживанию пожарной сигнализации в здании ДМ</t>
  </si>
  <si>
    <t>Обслуживание аквариума на 512л. И 390 л.</t>
  </si>
  <si>
    <t xml:space="preserve">Организация системы изоляции холодного  и горячего коридора в аппаратных залах </t>
  </si>
  <si>
    <t xml:space="preserve">Обслуживание ИБП Серверного центра </t>
  </si>
  <si>
    <t>Выполнение работ по монтажу автоматического пожаротушения (АУПТ) в зале телекоммуникации.</t>
  </si>
  <si>
    <t>Выполнение работ по монтажу автоматического пожаротушения</t>
  </si>
  <si>
    <t>Услуги по обслуживанию систем пожарной сигнализации и систем пожаротушения Серверного центра гос. органов (АО НИТ)</t>
  </si>
  <si>
    <t>Услуги по обслуживанию Дизель-генераторов Серверного центра гос. органов (АО НИТ)</t>
  </si>
  <si>
    <t>Услуги по сервисному обслуживанию системы кондиционирования аппаратных залов  Серверного Центра</t>
  </si>
  <si>
    <t>Услуги по обслуживанию систем пожарной сигнализации и систем пожаротушения</t>
  </si>
  <si>
    <t xml:space="preserve">Услуги по обслуживанию Дизель-генераторов </t>
  </si>
  <si>
    <t>Услуги по сервисному обслуживанию системы кондиционирования</t>
  </si>
  <si>
    <t>Услуги по по замене жидкости системы кондиционирования Серверного Центра</t>
  </si>
  <si>
    <t>Услуги по по замене жидкости системы кондиционирования</t>
  </si>
  <si>
    <t>Специализированная уборка в аппаратных залах</t>
  </si>
  <si>
    <t>Техническая поддержка оборудования Матрикс1</t>
  </si>
  <si>
    <t>Техническая поддержка оборудования Матрикс2</t>
  </si>
  <si>
    <t>Услуга такси для развозки системных администраторов</t>
  </si>
  <si>
    <t>Техническая поддержка оборудования</t>
  </si>
  <si>
    <t>Прочие услуги стор.организаций (в рамках новых внеплановых договоров - резерв)</t>
  </si>
  <si>
    <t>Годовая поддержка системы анализа сетевых аномалий (NTBA)</t>
  </si>
  <si>
    <t>Годовая поддержка системы обнаружения уязвимостей (VM)</t>
  </si>
  <si>
    <t>Годовая поддержка системы защиты веб-трафика (MWG + MEG)</t>
  </si>
  <si>
    <t>Годовая поддержка системы управления событиями информационной безопасности (SIEM)</t>
  </si>
  <si>
    <t>Годовая поддержка защиты серверов ЕНИС</t>
  </si>
  <si>
    <t>Годовая поддержка защиты серверов</t>
  </si>
  <si>
    <t>Годовая поддержка система мониторинга активности баз данных ЕНИС</t>
  </si>
  <si>
    <t>Годовая поддержка система мониторинга активности баз данных</t>
  </si>
  <si>
    <t>Системно техническое обслуживание системы контроля управления доступом</t>
  </si>
  <si>
    <t>Системно техническое обслуживание системы видеонаблюдения</t>
  </si>
  <si>
    <t>Перенос регистраторов видеонаблюдения</t>
  </si>
  <si>
    <t xml:space="preserve">Годовая поддержка защиты виртуальных конечных точек от производителя уровня GOLD (лицензии) </t>
  </si>
  <si>
    <t>Годовая поддержка хранилища для SIEM</t>
  </si>
  <si>
    <t>Годовая поддержка системы предотвращения утечки информации (DLP)</t>
  </si>
  <si>
    <t>Годовая поддержка интелектуальной системы безопасности (IPS)</t>
  </si>
  <si>
    <t xml:space="preserve">Годовая поддержка защиты конечных точек от производителя уровня GOLD (лицензии) </t>
  </si>
  <si>
    <t xml:space="preserve">Годовая поддержка защиты серверов от производителя уровня GOLD (лицензии)  </t>
  </si>
  <si>
    <t>Юридическое обеспечение проекта ЕНИС</t>
  </si>
  <si>
    <t>Юридическое обеспечение проекта</t>
  </si>
  <si>
    <t>Аренда ЛПО</t>
  </si>
  <si>
    <t xml:space="preserve">Премьер-поддержка Microsoft Services Premier Support </t>
  </si>
  <si>
    <t>Услуги сервиса СЭД по модели SaaS на 1228 пользователей</t>
  </si>
  <si>
    <t>Услуги сервиса СЭД по модели SaaS</t>
  </si>
  <si>
    <t>Техподдержка сайта 1414</t>
  </si>
  <si>
    <t>Комплексное сопровождение Инфо-консультанта</t>
  </si>
  <si>
    <t>Комплексное сопровождение Инфо-консультанта на каз.яз.</t>
  </si>
  <si>
    <t>Техническое обслуживание программно-аппартаного комплекса AVAYA</t>
  </si>
  <si>
    <t>Техподдержка системы серверов 1414</t>
  </si>
  <si>
    <t>СМС-Запросы (Услуги  "СМС-шлюз") (USSD-запросы)</t>
  </si>
  <si>
    <t>Реконструкция 4 этажа арендованного помещения в Доме Министерств open-space (открытое пространство)</t>
  </si>
  <si>
    <t>Реконструкция 4 этажа</t>
  </si>
  <si>
    <t>Исследовательские работы по Большим Данным (работы с высшими учебными заведениями)</t>
  </si>
  <si>
    <t>Исследовательские работы по Большим Данным</t>
  </si>
  <si>
    <t xml:space="preserve">Техническая поддержка мобильного приложения «NITEC» </t>
  </si>
  <si>
    <t>Услуги покопийного контракта печати для вновь приобретенных МФУ на 4 этаж</t>
  </si>
  <si>
    <t>Услуга по обслуживанию, сопровождению и поддержанию работоспособности демо-зала</t>
  </si>
  <si>
    <t xml:space="preserve">Проведение ресертификационного (возобновляющего сертификационного) аудита </t>
  </si>
  <si>
    <t xml:space="preserve">Ежегодная экспертная оценка СМК </t>
  </si>
  <si>
    <t>Ежегодная экспертная оценка СМК на соответствие требованиям ISO 9001:2008</t>
  </si>
  <si>
    <t>Ежегодная экспертная оценка СУИС</t>
  </si>
  <si>
    <t>Ежегодная экспертная оценка СУИС на соответствие требованиям ISO 20000-1:2011</t>
  </si>
  <si>
    <t>Проведение ресертификационного аудита системы менеджмента качества на соответствия требований  СТ РК ИСО 9001-2009</t>
  </si>
  <si>
    <t>Консультационные услуги по бизнес процессам</t>
  </si>
  <si>
    <t>Консультационные услуги по построению сервисной модели информатизации</t>
  </si>
  <si>
    <t>Консультационные работы по анализу Больших данных</t>
  </si>
  <si>
    <t>Ручки с нанесением логотипа eGov</t>
  </si>
  <si>
    <t>Настенные перекидные календари на 2016 г. формата А2 в подарочной упаковке</t>
  </si>
  <si>
    <t>Пакеты бумажные с нанесением логотипа в 3 цвета 30 х 40 см АО "НИТ"</t>
  </si>
  <si>
    <t>Пакеты бумажные с нанесением логотипа в 2 цвета 30 х 40 см eGov</t>
  </si>
  <si>
    <t>Изготовление визиток для руководителей</t>
  </si>
  <si>
    <t>Изготовление визиток для сотрудников</t>
  </si>
  <si>
    <t>поздравительные открытки</t>
  </si>
  <si>
    <t>Почетные грамоты и благодарственные письма</t>
  </si>
  <si>
    <t>Ручки с нанесением логотипа АО"НИТ"</t>
  </si>
  <si>
    <t>Настенные перекидные календари на 2016 г.</t>
  </si>
  <si>
    <t>Пакеты бумажные с нанесением логотипа</t>
  </si>
  <si>
    <t>Поздравительные открытки</t>
  </si>
  <si>
    <t>Блокнот на пружине с нанесением логотипа eGov.</t>
  </si>
  <si>
    <t>Блокнот на пружине с нанесением логотипа eGov. Формат А5.</t>
  </si>
  <si>
    <t>Сувениры в национальном стиле</t>
  </si>
  <si>
    <t>Электронная книга с нанесением логотипа</t>
  </si>
  <si>
    <t>USB флеш-накопители с нанесением логотипа АО НИТ, 16 Gb</t>
  </si>
  <si>
    <t>USB флеш-накопители с нанесением логотипа eGov, 8 Gb</t>
  </si>
  <si>
    <t>ежедневники не датированные</t>
  </si>
  <si>
    <t>ежедневники  не датированные VIP</t>
  </si>
  <si>
    <t>Кружки с нанесением логотипа eGov</t>
  </si>
  <si>
    <t>Портативное зарядное устройство с нанесением логотипа  eGov</t>
  </si>
  <si>
    <t xml:space="preserve"> USB флэш-накопитель логотипом компаний </t>
  </si>
  <si>
    <t>беспроводной bluetooth динамик с логотипом</t>
  </si>
  <si>
    <t xml:space="preserve">20000 мАч портативный USB универсальный внешний </t>
  </si>
  <si>
    <t>Часы настольные с логотипом</t>
  </si>
  <si>
    <t xml:space="preserve">Фоторамка  с логотипом </t>
  </si>
  <si>
    <t xml:space="preserve">Пикник корзина </t>
  </si>
  <si>
    <t>Переносной HDD диск 1trb</t>
  </si>
  <si>
    <t xml:space="preserve"> Пакет полиэтиленовый</t>
  </si>
  <si>
    <t>Блокнот с логотипом и ручкой</t>
  </si>
  <si>
    <t xml:space="preserve">Пакет полиэтиленовый, </t>
  </si>
  <si>
    <t>Бейсболка с логотипом компании</t>
  </si>
  <si>
    <t xml:space="preserve">Футболка с логотипом компании. </t>
  </si>
  <si>
    <t>Кружка ТАNK UP</t>
  </si>
  <si>
    <t>Папка с логотипом</t>
  </si>
  <si>
    <t>Ручка металлическая</t>
  </si>
  <si>
    <t>Проведение аудита годовой финансовой отчетности                     2015 года</t>
  </si>
  <si>
    <t>Услуги по обновлению ИС "Параграф"</t>
  </si>
  <si>
    <t>USB флеш-накопители</t>
  </si>
  <si>
    <t>Электронная книга</t>
  </si>
  <si>
    <t>Ежедневники не датированные</t>
  </si>
  <si>
    <t>Ежедневники  не датированные VIP</t>
  </si>
  <si>
    <t>Кружки</t>
  </si>
  <si>
    <t>Портативное зарядное устройство</t>
  </si>
  <si>
    <t xml:space="preserve"> USB флэш-накопитель</t>
  </si>
  <si>
    <t>Беспроводной bluetooth динамик</t>
  </si>
  <si>
    <t>Портативный USB</t>
  </si>
  <si>
    <t>Клавиатура и мышь беспроводная</t>
  </si>
  <si>
    <t>Клавиатура и мышь беспроводная с логотипом</t>
  </si>
  <si>
    <t>Часы настольные</t>
  </si>
  <si>
    <t>Фоторамка</t>
  </si>
  <si>
    <t>Блокнот с ручкой</t>
  </si>
  <si>
    <t>Бейсболка</t>
  </si>
  <si>
    <t>Футболка</t>
  </si>
  <si>
    <t>Кружка</t>
  </si>
  <si>
    <t>Папка</t>
  </si>
  <si>
    <t>Празднование Дня языков народов Казахстана</t>
  </si>
  <si>
    <t>Аренда волейбольного и баскетбольного зала</t>
  </si>
  <si>
    <t>Взнос для участия в соревновании Чемпионата КЛЛФ по футзалу "Зима-2016"</t>
  </si>
  <si>
    <t>Взнос для участия в турнире ЛЛФ "Весна 2016"</t>
  </si>
  <si>
    <t>Взнос за участие в соревновании Чемпионата КЛЛФ по футзалу  "Осень-2016"</t>
  </si>
  <si>
    <t>Услуги охраны (каб. 607 ПЗГС)</t>
  </si>
  <si>
    <t>Услуги охраны</t>
  </si>
  <si>
    <t>Услуги доступа к базе резюме соискателей на веб-сайте</t>
  </si>
  <si>
    <t>Изготовление карт доступа EM-MARINE (служебные/временные удостоверения)</t>
  </si>
  <si>
    <t>Изготовление карт доступа</t>
  </si>
  <si>
    <t>Услуги химчистки</t>
  </si>
  <si>
    <t>1/3</t>
  </si>
  <si>
    <t>1/4</t>
  </si>
  <si>
    <t>10</t>
  </si>
  <si>
    <t>10/4</t>
  </si>
  <si>
    <t>10/5</t>
  </si>
  <si>
    <t>10/6</t>
  </si>
  <si>
    <t>10/7</t>
  </si>
  <si>
    <t>10/8</t>
  </si>
  <si>
    <t>10/9</t>
  </si>
  <si>
    <t>10/10</t>
  </si>
  <si>
    <t>11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</si>
  <si>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</si>
  <si>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</si>
  <si>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</si>
  <si>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</si>
  <si>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</si>
  <si>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</si>
  <si>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</si>
  <si>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</si>
  <si>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</si>
  <si>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</si>
  <si>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</si>
  <si>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</si>
  <si>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</si>
  <si>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</si>
  <si>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</si>
  <si>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</si>
  <si>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</si>
  <si>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</si>
  <si>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</si>
  <si>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</si>
  <si>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</si>
  <si>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</si>
  <si>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</si>
  <si>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</si>
  <si>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</si>
  <si>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13</t>
  </si>
  <si>
    <t>15</t>
  </si>
  <si>
    <t>15/1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</si>
  <si>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</si>
  <si>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</si>
  <si>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</si>
  <si>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</si>
  <si>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</si>
  <si>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</si>
  <si>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</si>
  <si>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</si>
  <si>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</si>
  <si>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</si>
  <si>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</si>
  <si>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</si>
  <si>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</si>
  <si>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</si>
  <si>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</si>
  <si>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</si>
  <si>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15/18</t>
  </si>
  <si>
    <t>15/19</t>
  </si>
  <si>
    <t>15/20</t>
  </si>
  <si>
    <t>15/21</t>
  </si>
  <si>
    <t>15/22</t>
  </si>
  <si>
    <t>15/23</t>
  </si>
  <si>
    <t>15/24</t>
  </si>
  <si>
    <t>15/25</t>
  </si>
  <si>
    <t>15/26</t>
  </si>
  <si>
    <t>15/27</t>
  </si>
  <si>
    <t>15/28</t>
  </si>
  <si>
    <t>15/29</t>
  </si>
  <si>
    <t>15/30</t>
  </si>
  <si>
    <t>15/31</t>
  </si>
  <si>
    <t>15/32</t>
  </si>
  <si>
    <t>15/33</t>
  </si>
  <si>
    <t>15/34</t>
  </si>
  <si>
    <t>15/35</t>
  </si>
  <si>
    <t>15/36</t>
  </si>
  <si>
    <t>15/37</t>
  </si>
  <si>
    <t>15/38</t>
  </si>
  <si>
    <t>15/39</t>
  </si>
  <si>
    <t>15/40</t>
  </si>
  <si>
    <t>15/41</t>
  </si>
  <si>
    <t>15/42</t>
  </si>
  <si>
    <t>15/43</t>
  </si>
  <si>
    <t>15/44</t>
  </si>
  <si>
    <t>15/45</t>
  </si>
  <si>
    <t>15/46</t>
  </si>
  <si>
    <t>15/47</t>
  </si>
  <si>
    <t>15/48</t>
  </si>
  <si>
    <t>15/49</t>
  </si>
  <si>
    <t>15/50</t>
  </si>
  <si>
    <t>15/51</t>
  </si>
  <si>
    <t>15/52</t>
  </si>
  <si>
    <t>15/53</t>
  </si>
  <si>
    <t>15/54</t>
  </si>
  <si>
    <t>15/55</t>
  </si>
  <si>
    <t>15/56</t>
  </si>
  <si>
    <t>15/57</t>
  </si>
  <si>
    <t>15/58</t>
  </si>
  <si>
    <t>15/59</t>
  </si>
  <si>
    <t>15/60</t>
  </si>
  <si>
    <t>15/61</t>
  </si>
  <si>
    <t>15/62</t>
  </si>
  <si>
    <t>15/63</t>
  </si>
  <si>
    <t>15/64</t>
  </si>
  <si>
    <t>15/65</t>
  </si>
  <si>
    <t>15/66</t>
  </si>
  <si>
    <t>15/67</t>
  </si>
  <si>
    <t>15/68</t>
  </si>
  <si>
    <t>15/69</t>
  </si>
  <si>
    <t>15/70</t>
  </si>
  <si>
    <t>15/71</t>
  </si>
  <si>
    <t>15/72</t>
  </si>
  <si>
    <t>15/73</t>
  </si>
  <si>
    <t>15/74</t>
  </si>
  <si>
    <t>15/75</t>
  </si>
  <si>
    <t>15/76</t>
  </si>
  <si>
    <t>15/77</t>
  </si>
  <si>
    <t>15/78</t>
  </si>
  <si>
    <t>15/79</t>
  </si>
  <si>
    <t>15/80</t>
  </si>
  <si>
    <t>15/81</t>
  </si>
  <si>
    <t>15/82</t>
  </si>
  <si>
    <t>15/83</t>
  </si>
  <si>
    <t>15/84</t>
  </si>
  <si>
    <t>15/85</t>
  </si>
  <si>
    <t>15/86</t>
  </si>
  <si>
    <t>15/87</t>
  </si>
  <si>
    <t>15/88</t>
  </si>
  <si>
    <t>15/89</t>
  </si>
  <si>
    <t>15/90</t>
  </si>
  <si>
    <t>15/91</t>
  </si>
  <si>
    <t>15/92</t>
  </si>
  <si>
    <t>15/93</t>
  </si>
  <si>
    <t>15/94</t>
  </si>
  <si>
    <t>15/95</t>
  </si>
  <si>
    <t>15/96</t>
  </si>
  <si>
    <t>15/97</t>
  </si>
  <si>
    <t>15/98</t>
  </si>
  <si>
    <t>15/99</t>
  </si>
  <si>
    <t>15/100</t>
  </si>
  <si>
    <t>15/101</t>
  </si>
  <si>
    <t>15/102</t>
  </si>
  <si>
    <t>15/103</t>
  </si>
  <si>
    <t>15/104</t>
  </si>
  <si>
    <t>15/105</t>
  </si>
  <si>
    <t>15/106</t>
  </si>
  <si>
    <t>15/107</t>
  </si>
  <si>
    <t>15/108</t>
  </si>
  <si>
    <t>15/109</t>
  </si>
  <si>
    <t>15/110</t>
  </si>
  <si>
    <t>15/111</t>
  </si>
  <si>
    <t>15/112</t>
  </si>
  <si>
    <t>15/113</t>
  </si>
  <si>
    <t>15/114</t>
  </si>
  <si>
    <t>15/115</t>
  </si>
  <si>
    <t>15/116</t>
  </si>
  <si>
    <t>15/117</t>
  </si>
  <si>
    <t>15/118</t>
  </si>
  <si>
    <t>15/119</t>
  </si>
  <si>
    <t>15/120</t>
  </si>
  <si>
    <t>15/121</t>
  </si>
  <si>
    <t>15/122</t>
  </si>
  <si>
    <t>15/123</t>
  </si>
  <si>
    <t>15/124</t>
  </si>
  <si>
    <t>15/125</t>
  </si>
  <si>
    <t>15/126</t>
  </si>
  <si>
    <t>15/127</t>
  </si>
  <si>
    <t>15/128</t>
  </si>
  <si>
    <t>15/129</t>
  </si>
  <si>
    <t>15/130</t>
  </si>
  <si>
    <t>15/131</t>
  </si>
  <si>
    <t>15/132</t>
  </si>
  <si>
    <t>15/133</t>
  </si>
  <si>
    <t>15/134</t>
  </si>
  <si>
    <t>15/135</t>
  </si>
  <si>
    <t>15/136</t>
  </si>
  <si>
    <t>15/137</t>
  </si>
  <si>
    <t>15/138</t>
  </si>
  <si>
    <t>15/139</t>
  </si>
  <si>
    <t>15/140</t>
  </si>
  <si>
    <t>15/141</t>
  </si>
  <si>
    <t>15/142</t>
  </si>
  <si>
    <t>15/143</t>
  </si>
  <si>
    <t>15/144</t>
  </si>
  <si>
    <t>15/145</t>
  </si>
  <si>
    <t>15/146</t>
  </si>
  <si>
    <t>15/147</t>
  </si>
  <si>
    <t>15/148</t>
  </si>
  <si>
    <t>15/149</t>
  </si>
  <si>
    <t>15/150</t>
  </si>
  <si>
    <t>15/151</t>
  </si>
  <si>
    <t>15/152</t>
  </si>
  <si>
    <t>15/153</t>
  </si>
  <si>
    <t>15/154</t>
  </si>
  <si>
    <t>15/155</t>
  </si>
  <si>
    <t>15/156</t>
  </si>
  <si>
    <t>15/157</t>
  </si>
  <si>
    <t>15/158</t>
  </si>
  <si>
    <t>15/159</t>
  </si>
  <si>
    <t>15/160</t>
  </si>
  <si>
    <t>15/161</t>
  </si>
  <si>
    <t>15/162</t>
  </si>
  <si>
    <t>15/163</t>
  </si>
  <si>
    <t>15/164</t>
  </si>
  <si>
    <t>15/165</t>
  </si>
  <si>
    <t>15/166</t>
  </si>
  <si>
    <t>15/167</t>
  </si>
  <si>
    <t>15/168</t>
  </si>
  <si>
    <t>15/169</t>
  </si>
  <si>
    <t>15/170</t>
  </si>
  <si>
    <t>15/171</t>
  </si>
  <si>
    <t>15/172</t>
  </si>
  <si>
    <t>15/173</t>
  </si>
  <si>
    <t>15/174</t>
  </si>
  <si>
    <t>15/175</t>
  </si>
  <si>
    <t>15/176</t>
  </si>
  <si>
    <t>15/177</t>
  </si>
  <si>
    <t>15/178</t>
  </si>
  <si>
    <t>15/179</t>
  </si>
  <si>
    <t>15/180</t>
  </si>
  <si>
    <t>15/181</t>
  </si>
  <si>
    <t>15/182</t>
  </si>
  <si>
    <t>15/183</t>
  </si>
  <si>
    <t>15/184</t>
  </si>
  <si>
    <t>15/185</t>
  </si>
  <si>
    <t>15/186</t>
  </si>
  <si>
    <t>15/187</t>
  </si>
  <si>
    <t>15/188</t>
  </si>
  <si>
    <t>15/189</t>
  </si>
  <si>
    <t>15/190</t>
  </si>
  <si>
    <t>15/191</t>
  </si>
  <si>
    <t>15/192</t>
  </si>
  <si>
    <t>16</t>
  </si>
  <si>
    <t>16/1</t>
  </si>
  <si>
    <t>16/2</t>
  </si>
  <si>
    <t>16/3</t>
  </si>
  <si>
    <t>16/4</t>
  </si>
  <si>
    <t>16/5</t>
  </si>
  <si>
    <t>16/6</t>
  </si>
  <si>
    <t>16/7</t>
  </si>
  <si>
    <t>16/8</t>
  </si>
  <si>
    <t>16/9</t>
  </si>
  <si>
    <t>16/10</t>
  </si>
  <si>
    <t>16/11</t>
  </si>
  <si>
    <t>16/12</t>
  </si>
  <si>
    <t>16/13</t>
  </si>
  <si>
    <t>16/14</t>
  </si>
  <si>
    <t>16/15</t>
  </si>
  <si>
    <t>16/16</t>
  </si>
  <si>
    <t>16/17</t>
  </si>
  <si>
    <t>16/18</t>
  </si>
  <si>
    <t>16/19</t>
  </si>
  <si>
    <t>17</t>
  </si>
  <si>
    <t>17/1</t>
  </si>
  <si>
    <t>17/2</t>
  </si>
  <si>
    <t>17/3</t>
  </si>
  <si>
    <t>17/4</t>
  </si>
  <si>
    <t>17/5</t>
  </si>
  <si>
    <t>17/6</t>
  </si>
  <si>
    <t>17/7</t>
  </si>
  <si>
    <t>17/8</t>
  </si>
  <si>
    <t>17/9</t>
  </si>
  <si>
    <t>17/10</t>
  </si>
  <si>
    <t>17/11</t>
  </si>
  <si>
    <t>17/12</t>
  </si>
  <si>
    <t>17/13</t>
  </si>
  <si>
    <t>17/14</t>
  </si>
  <si>
    <t>17/15</t>
  </si>
  <si>
    <t>17/16</t>
  </si>
  <si>
    <t>17/17</t>
  </si>
  <si>
    <t>17/18</t>
  </si>
  <si>
    <t>17/19</t>
  </si>
  <si>
    <t>17/20</t>
  </si>
  <si>
    <t>18</t>
  </si>
  <si>
    <t>18/1</t>
  </si>
  <si>
    <t>18/2</t>
  </si>
  <si>
    <t>18/3</t>
  </si>
  <si>
    <t>18/4</t>
  </si>
  <si>
    <t>18/5</t>
  </si>
  <si>
    <t>18/6</t>
  </si>
  <si>
    <t>18/7</t>
  </si>
  <si>
    <t>18/8</t>
  </si>
  <si>
    <t>18/9</t>
  </si>
  <si>
    <t>18/10</t>
  </si>
  <si>
    <t>18/11</t>
  </si>
  <si>
    <t>18/12</t>
  </si>
  <si>
    <t>18/13</t>
  </si>
  <si>
    <t>18/14</t>
  </si>
  <si>
    <t>18/15</t>
  </si>
  <si>
    <t>18/16</t>
  </si>
  <si>
    <t>18/17</t>
  </si>
  <si>
    <t>18/18</t>
  </si>
  <si>
    <t>19</t>
  </si>
  <si>
    <t>19/1</t>
  </si>
  <si>
    <t>19/2</t>
  </si>
  <si>
    <t>19/3</t>
  </si>
  <si>
    <t>19/4</t>
  </si>
  <si>
    <t>19/5</t>
  </si>
  <si>
    <t>19/6</t>
  </si>
  <si>
    <t>19/7</t>
  </si>
  <si>
    <t>19/8</t>
  </si>
  <si>
    <t>19/9</t>
  </si>
  <si>
    <t>20</t>
  </si>
  <si>
    <t>20/1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</si>
  <si>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</si>
  <si>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</si>
  <si>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</si>
  <si>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</si>
  <si>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</si>
  <si>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</si>
  <si>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</si>
  <si>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</si>
  <si>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</si>
  <si>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</si>
  <si>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</si>
  <si>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</si>
  <si>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</si>
  <si>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</si>
  <si>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</si>
  <si>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</si>
  <si>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</si>
  <si>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</si>
  <si>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</si>
  <si>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</si>
  <si>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</si>
  <si>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</si>
  <si>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</si>
  <si>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</si>
  <si>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</si>
  <si>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20/27</t>
  </si>
  <si>
    <t>20/28</t>
  </si>
  <si>
    <t>20/29</t>
  </si>
  <si>
    <t>20/30</t>
  </si>
  <si>
    <t>20/31</t>
  </si>
  <si>
    <t>20/32</t>
  </si>
  <si>
    <t>20/33</t>
  </si>
  <si>
    <t>20/34</t>
  </si>
  <si>
    <t>20/35</t>
  </si>
  <si>
    <t>20/36</t>
  </si>
  <si>
    <t>20/37</t>
  </si>
  <si>
    <t>20/38</t>
  </si>
  <si>
    <t>20/39</t>
  </si>
  <si>
    <t>20/40</t>
  </si>
  <si>
    <t>20/41</t>
  </si>
  <si>
    <t>20/42</t>
  </si>
  <si>
    <t>20/43</t>
  </si>
  <si>
    <t>20/44</t>
  </si>
  <si>
    <t>20/45</t>
  </si>
  <si>
    <t>20/46</t>
  </si>
  <si>
    <t>20/47</t>
  </si>
  <si>
    <t>20/48</t>
  </si>
  <si>
    <t>20/49</t>
  </si>
  <si>
    <t>20/50</t>
  </si>
  <si>
    <t>20/51</t>
  </si>
  <si>
    <t>20/52</t>
  </si>
  <si>
    <t>20/53</t>
  </si>
  <si>
    <t>20/54</t>
  </si>
  <si>
    <t>20/55</t>
  </si>
  <si>
    <t>20/56</t>
  </si>
  <si>
    <t>20/57</t>
  </si>
  <si>
    <t>20/58</t>
  </si>
  <si>
    <t>20/59</t>
  </si>
  <si>
    <t>20/60</t>
  </si>
  <si>
    <t>20/61</t>
  </si>
  <si>
    <t>20/62</t>
  </si>
  <si>
    <t>20/63</t>
  </si>
  <si>
    <t>20/64</t>
  </si>
  <si>
    <t>20/65</t>
  </si>
  <si>
    <t>20/66</t>
  </si>
  <si>
    <t>20/67</t>
  </si>
  <si>
    <t>20/68</t>
  </si>
  <si>
    <t>20/69</t>
  </si>
  <si>
    <t>20/70</t>
  </si>
  <si>
    <t>20/71</t>
  </si>
  <si>
    <t>20/72</t>
  </si>
  <si>
    <t>20/73</t>
  </si>
  <si>
    <t>20/74</t>
  </si>
  <si>
    <t>20/75</t>
  </si>
  <si>
    <t>20/76</t>
  </si>
  <si>
    <t>20/77</t>
  </si>
  <si>
    <t>20/78</t>
  </si>
  <si>
    <t>20/79</t>
  </si>
  <si>
    <t>20/80</t>
  </si>
  <si>
    <t>20/81</t>
  </si>
  <si>
    <t>20/82</t>
  </si>
  <si>
    <t>20/83</t>
  </si>
  <si>
    <t>20/84</t>
  </si>
  <si>
    <t>20/85</t>
  </si>
  <si>
    <t>20/86</t>
  </si>
  <si>
    <t>20/87</t>
  </si>
  <si>
    <t>20/88</t>
  </si>
  <si>
    <t>20/89</t>
  </si>
  <si>
    <t>20/90</t>
  </si>
  <si>
    <t>20/91</t>
  </si>
  <si>
    <t>20/92</t>
  </si>
  <si>
    <t>20/93</t>
  </si>
  <si>
    <t>20/94</t>
  </si>
  <si>
    <t>20/95</t>
  </si>
  <si>
    <t>20/96</t>
  </si>
  <si>
    <t>20/97</t>
  </si>
  <si>
    <t>20/98</t>
  </si>
  <si>
    <t>20/99</t>
  </si>
  <si>
    <t>20/100</t>
  </si>
  <si>
    <t>20/101</t>
  </si>
  <si>
    <t>20/102</t>
  </si>
  <si>
    <t>20/103</t>
  </si>
  <si>
    <t>20/104</t>
  </si>
  <si>
    <t>20/105</t>
  </si>
  <si>
    <t>20/106</t>
  </si>
  <si>
    <t>20/107</t>
  </si>
  <si>
    <t>20/108</t>
  </si>
  <si>
    <t>20/109</t>
  </si>
  <si>
    <t>20/110</t>
  </si>
  <si>
    <t>20/111</t>
  </si>
  <si>
    <t>20/112</t>
  </si>
  <si>
    <t>20/113</t>
  </si>
  <si>
    <t>20/114</t>
  </si>
  <si>
    <t>20/115</t>
  </si>
  <si>
    <t>20/116</t>
  </si>
  <si>
    <t>20/117</t>
  </si>
  <si>
    <t>20/118</t>
  </si>
  <si>
    <t>20/119</t>
  </si>
  <si>
    <t>20/120</t>
  </si>
  <si>
    <t>20/121</t>
  </si>
  <si>
    <t>20/122</t>
  </si>
  <si>
    <t>20/123</t>
  </si>
  <si>
    <t>20/124</t>
  </si>
  <si>
    <t>20/125</t>
  </si>
  <si>
    <t>20/126</t>
  </si>
  <si>
    <t>20/127</t>
  </si>
  <si>
    <t>20/128</t>
  </si>
  <si>
    <t>20/129</t>
  </si>
  <si>
    <t>20/130</t>
  </si>
  <si>
    <t>20/131</t>
  </si>
  <si>
    <t>20/132</t>
  </si>
  <si>
    <t>21</t>
  </si>
  <si>
    <t>21/1</t>
  </si>
  <si>
    <t>21/2</t>
  </si>
  <si>
    <t>21/3</t>
  </si>
  <si>
    <t>21/4</t>
  </si>
  <si>
    <t>21/5</t>
  </si>
  <si>
    <t>21/6</t>
  </si>
  <si>
    <t>21/7</t>
  </si>
  <si>
    <t>21/8</t>
  </si>
  <si>
    <t>21/9</t>
  </si>
  <si>
    <t>21/10</t>
  </si>
  <si>
    <t>21/11</t>
  </si>
  <si>
    <t>21/12</t>
  </si>
  <si>
    <t>21/13</t>
  </si>
  <si>
    <t>21/14</t>
  </si>
  <si>
    <t>21/15</t>
  </si>
  <si>
    <t>21/16</t>
  </si>
  <si>
    <t>21/17</t>
  </si>
  <si>
    <t>21/18</t>
  </si>
  <si>
    <t>22</t>
  </si>
  <si>
    <t>22/1</t>
  </si>
  <si>
    <t>22/2</t>
  </si>
  <si>
    <t>22/3</t>
  </si>
  <si>
    <t>22/4</t>
  </si>
  <si>
    <t>22/5</t>
  </si>
  <si>
    <t>22/6</t>
  </si>
  <si>
    <t>22/7</t>
  </si>
  <si>
    <t>22/8</t>
  </si>
  <si>
    <t>22/9</t>
  </si>
  <si>
    <t>22/10</t>
  </si>
  <si>
    <t>22/11</t>
  </si>
  <si>
    <t>22/12</t>
  </si>
  <si>
    <t>22/13</t>
  </si>
  <si>
    <t>22/14</t>
  </si>
  <si>
    <t>22/15</t>
  </si>
  <si>
    <t>22/16</t>
  </si>
  <si>
    <t>22/17</t>
  </si>
  <si>
    <t>22/18</t>
  </si>
  <si>
    <t>22/19</t>
  </si>
  <si>
    <t>24</t>
  </si>
  <si>
    <t>24/20</t>
  </si>
  <si>
    <t>24/21</t>
  </si>
  <si>
    <t>24/22</t>
  </si>
  <si>
    <t>24/23</t>
  </si>
  <si>
    <t>24/24</t>
  </si>
  <si>
    <t>24/25</t>
  </si>
  <si>
    <t>24/26</t>
  </si>
  <si>
    <t>24/27</t>
  </si>
  <si>
    <t>24/28</t>
  </si>
  <si>
    <t>24/29</t>
  </si>
  <si>
    <t>24/30</t>
  </si>
  <si>
    <t>24/31</t>
  </si>
  <si>
    <t>27</t>
  </si>
  <si>
    <t>27/2</t>
  </si>
  <si>
    <t>27/4</t>
  </si>
  <si>
    <t>27/5</t>
  </si>
  <si>
    <t>27/6</t>
  </si>
  <si>
    <t>27/7</t>
  </si>
  <si>
    <t>27/8</t>
  </si>
  <si>
    <t>27/9</t>
  </si>
  <si>
    <t>27/10</t>
  </si>
  <si>
    <t>27/11</t>
  </si>
  <si>
    <t>27/12</t>
  </si>
  <si>
    <t>27/13</t>
  </si>
  <si>
    <t>27/14</t>
  </si>
  <si>
    <t>27/15</t>
  </si>
  <si>
    <t>27/16</t>
  </si>
  <si>
    <t>27/17</t>
  </si>
  <si>
    <t>27/18</t>
  </si>
  <si>
    <t>27/19</t>
  </si>
  <si>
    <t>27/20</t>
  </si>
  <si>
    <t>27/21</t>
  </si>
  <si>
    <t>27/22</t>
  </si>
  <si>
    <t>27/23</t>
  </si>
  <si>
    <t>27/24</t>
  </si>
  <si>
    <t>27/25</t>
  </si>
  <si>
    <t>27/26</t>
  </si>
  <si>
    <t>27/27</t>
  </si>
  <si>
    <t>27/28</t>
  </si>
  <si>
    <t>27/29</t>
  </si>
  <si>
    <t>27/30</t>
  </si>
  <si>
    <t>27/31</t>
  </si>
  <si>
    <t>27/32</t>
  </si>
  <si>
    <t>27/33</t>
  </si>
  <si>
    <t>27/34</t>
  </si>
  <si>
    <t>27/35</t>
  </si>
  <si>
    <t>27/36</t>
  </si>
  <si>
    <t>27/37</t>
  </si>
  <si>
    <t>30/2</t>
  </si>
  <si>
    <t>31/3</t>
  </si>
  <si>
    <t>31/4</t>
  </si>
  <si>
    <t>31/5</t>
  </si>
  <si>
    <t>31/6</t>
  </si>
  <si>
    <t>31/7</t>
  </si>
  <si>
    <t>33</t>
  </si>
  <si>
    <t>33/1</t>
  </si>
  <si>
    <t>33/2</t>
  </si>
  <si>
    <t>33/3</t>
  </si>
  <si>
    <t>33/4</t>
  </si>
  <si>
    <t>33/5</t>
  </si>
  <si>
    <t>33/6</t>
  </si>
  <si>
    <t>33/7</t>
  </si>
  <si>
    <t>33/8</t>
  </si>
  <si>
    <t>33/9</t>
  </si>
  <si>
    <t>33/10</t>
  </si>
  <si>
    <t>33/11</t>
  </si>
  <si>
    <t>33/12</t>
  </si>
  <si>
    <t>33/13</t>
  </si>
  <si>
    <t>33/14</t>
  </si>
  <si>
    <t>33/15</t>
  </si>
  <si>
    <t>33/16</t>
  </si>
  <si>
    <t>33/17</t>
  </si>
  <si>
    <t>33/18</t>
  </si>
  <si>
    <t>33/19</t>
  </si>
  <si>
    <t>33/20</t>
  </si>
  <si>
    <t>33/21</t>
  </si>
  <si>
    <t>33/22</t>
  </si>
  <si>
    <t>33/23</t>
  </si>
  <si>
    <t>33/24</t>
  </si>
  <si>
    <t>33/25</t>
  </si>
  <si>
    <t>33/26</t>
  </si>
  <si>
    <t>33/27</t>
  </si>
  <si>
    <t>33/28</t>
  </si>
  <si>
    <t>33/29</t>
  </si>
  <si>
    <t>33/30</t>
  </si>
  <si>
    <t>33/31</t>
  </si>
  <si>
    <t>33/32</t>
  </si>
  <si>
    <t>33/33</t>
  </si>
  <si>
    <t>33/34</t>
  </si>
  <si>
    <t>33/35</t>
  </si>
  <si>
    <t>33/36</t>
  </si>
  <si>
    <t>34</t>
  </si>
  <si>
    <t>35</t>
  </si>
  <si>
    <t>35/1</t>
  </si>
  <si>
    <t>35/2</t>
  </si>
  <si>
    <t>35/3</t>
  </si>
  <si>
    <t>35/4</t>
  </si>
  <si>
    <t>36/7</t>
  </si>
  <si>
    <t>36/8</t>
  </si>
  <si>
    <t>36/9</t>
  </si>
  <si>
    <t>36/17</t>
  </si>
  <si>
    <t>36/18</t>
  </si>
  <si>
    <t>36/19</t>
  </si>
  <si>
    <t>36/20</t>
  </si>
  <si>
    <t>36/21</t>
  </si>
  <si>
    <t>36/22</t>
  </si>
  <si>
    <t>36/23</t>
  </si>
  <si>
    <t>36/24</t>
  </si>
  <si>
    <t>36/25</t>
  </si>
  <si>
    <t>36/26</t>
  </si>
  <si>
    <t>36/27</t>
  </si>
  <si>
    <t>36/28</t>
  </si>
  <si>
    <t>36/29</t>
  </si>
  <si>
    <t>36/30</t>
  </si>
  <si>
    <t>36/31</t>
  </si>
  <si>
    <t>36/32</t>
  </si>
  <si>
    <t>36/33</t>
  </si>
  <si>
    <t>36/34</t>
  </si>
  <si>
    <t>36/35</t>
  </si>
  <si>
    <t>36/36</t>
  </si>
  <si>
    <t>36/37</t>
  </si>
  <si>
    <t>36/38</t>
  </si>
  <si>
    <t>36/39</t>
  </si>
  <si>
    <t>36/40</t>
  </si>
  <si>
    <t>36/41</t>
  </si>
  <si>
    <t>36/42</t>
  </si>
  <si>
    <t>36/43</t>
  </si>
  <si>
    <t>37/1</t>
  </si>
  <si>
    <t>37/2</t>
  </si>
  <si>
    <t>37/3</t>
  </si>
  <si>
    <t>37/4</t>
  </si>
  <si>
    <t>37/5</t>
  </si>
  <si>
    <t>37/6</t>
  </si>
  <si>
    <t>37/6/1</t>
  </si>
  <si>
    <t>37/6/2</t>
  </si>
  <si>
    <t>37/6/3</t>
  </si>
  <si>
    <t>37/6/4</t>
  </si>
  <si>
    <t>37/6/5</t>
  </si>
  <si>
    <t>37/6/6</t>
  </si>
  <si>
    <t>37/6/7</t>
  </si>
  <si>
    <t>37/6/8</t>
  </si>
  <si>
    <t>37/6/9</t>
  </si>
  <si>
    <t>37/6/10</t>
  </si>
  <si>
    <t>37/6/11</t>
  </si>
  <si>
    <t>37/6/12</t>
  </si>
  <si>
    <t>37/6/13</t>
  </si>
  <si>
    <t>37/6/14</t>
  </si>
  <si>
    <t>36/44</t>
  </si>
  <si>
    <t>Проект "G-Cloud"</t>
  </si>
  <si>
    <t>Проект  "G-Cloud"</t>
  </si>
  <si>
    <t>Процессор</t>
  </si>
  <si>
    <t>Процессор: не менее Intel Core i5 -Е-нотариат (ЕНИС)</t>
  </si>
  <si>
    <t>49</t>
  </si>
  <si>
    <t>50</t>
  </si>
  <si>
    <t>51</t>
  </si>
  <si>
    <t>52</t>
  </si>
  <si>
    <t>HP сервера для дооснащения</t>
  </si>
  <si>
    <t>Работы по переводу электроснабжения</t>
  </si>
  <si>
    <t>Проект "Создание серврной интернет-платформы для оказания услуг хостинга государственным органам (ЦОД)"</t>
  </si>
  <si>
    <t>ЛПО</t>
  </si>
  <si>
    <t>Проект "Единая система мониторинга сервисов АО "НИТ" (ЕСМ)</t>
  </si>
  <si>
    <t>Услуга по проведению аттестационного обследования системы на соответствие требованиям информационной безопасности</t>
  </si>
  <si>
    <t>Услуги лизинга</t>
  </si>
  <si>
    <t>Проект "Единая электронная почтовая система государственных органов Республики Казахстан" (ЕЭПС ГО)</t>
  </si>
  <si>
    <t>Ноутбуки</t>
  </si>
  <si>
    <t>Аттестация системы</t>
  </si>
  <si>
    <t>Разработка исходного кода модуля ЕСПО</t>
  </si>
  <si>
    <t>53</t>
  </si>
  <si>
    <t>54</t>
  </si>
  <si>
    <t>55</t>
  </si>
  <si>
    <t>55/1</t>
  </si>
  <si>
    <t>56/1</t>
  </si>
  <si>
    <t>56/2</t>
  </si>
  <si>
    <t>Проект Создание "Единой информационной системы по учету прохождения технического осмотра механических транспортных средств и прицепов к ним" (ЕИС ТО)</t>
  </si>
  <si>
    <t>57/1</t>
  </si>
  <si>
    <t>57/2</t>
  </si>
  <si>
    <t>57/3</t>
  </si>
  <si>
    <t>Проект Единый контакт-центр</t>
  </si>
  <si>
    <t>Дизель-генераторная установка</t>
  </si>
  <si>
    <t>Ноутбук</t>
  </si>
  <si>
    <t>Рабочая станция</t>
  </si>
  <si>
    <t>Проект Единая платформа интернет-ресурсов государственных органов (ЕПИР ГО)</t>
  </si>
  <si>
    <t>Разработка ЕПИР ГО</t>
  </si>
  <si>
    <t>Разработка конструктора шаблонов интернет-ресурсов ГО</t>
  </si>
  <si>
    <t>Запуск в пилотную эксплуатацию интернет - ресурсов ГО</t>
  </si>
  <si>
    <t>59/1</t>
  </si>
  <si>
    <t>Проект Е-Адвокат</t>
  </si>
  <si>
    <t>60/1</t>
  </si>
  <si>
    <t>Услуги по разработке информационной системы</t>
  </si>
  <si>
    <t>Проект Е-Сапа</t>
  </si>
  <si>
    <t xml:space="preserve"> Услуги - ДВОУ                 </t>
  </si>
  <si>
    <t xml:space="preserve">Ноутбук                </t>
  </si>
  <si>
    <t xml:space="preserve">  Принтер</t>
  </si>
  <si>
    <t xml:space="preserve">МФУ               </t>
  </si>
  <si>
    <t>Новые инвестиционные проекты АО "НИТ"</t>
  </si>
  <si>
    <t>Видеокарта (PCI-E 2048Mb GeForce GTX750)</t>
  </si>
  <si>
    <t>HDD (64Mb, 7200rpm, Serial ATA III-600, Caviar Blue)</t>
  </si>
  <si>
    <t>Набор шестигранных ключей</t>
  </si>
  <si>
    <t>Комплект (ланьярд с креплением под бейдж, брелок-ретрактор, карман для проксимити-карты)</t>
  </si>
  <si>
    <t>Диски</t>
  </si>
  <si>
    <t>28/15</t>
  </si>
  <si>
    <t>28/16</t>
  </si>
  <si>
    <t>ГУ" Департамент юстиции по Карагандинской области"</t>
  </si>
  <si>
    <t>Торжественное мероприятие (8 марта)</t>
  </si>
  <si>
    <t>Услуги по анализу информационных систем в целях обеспечения создания технических условий для оказания государственных услуг физическим  и юридическим лицам в государственных информационных системах государственной корпорации</t>
  </si>
  <si>
    <t>27/38</t>
  </si>
  <si>
    <t>План  закупок товаров, работ и услуг на 2016 год  АО "Национальные информационные технологии"</t>
  </si>
  <si>
    <t>Визитки для руководителей</t>
  </si>
  <si>
    <t>Визитки для сотрудников</t>
  </si>
  <si>
    <t xml:space="preserve">Услуги грузчиков </t>
  </si>
  <si>
    <t>Стеллажи для архива</t>
  </si>
  <si>
    <t>37/7</t>
  </si>
  <si>
    <t>37/7/1</t>
  </si>
  <si>
    <t>37/7/2</t>
  </si>
  <si>
    <t>37/7/3</t>
  </si>
  <si>
    <t>37/7/4</t>
  </si>
  <si>
    <t>37/7/5</t>
  </si>
  <si>
    <t>37/9</t>
  </si>
  <si>
    <t>37/9/1</t>
  </si>
  <si>
    <t>37/9/2</t>
  </si>
  <si>
    <t>37/9/3</t>
  </si>
  <si>
    <t>37/9/4</t>
  </si>
  <si>
    <t>37/9/5</t>
  </si>
  <si>
    <t>37/9/6</t>
  </si>
  <si>
    <t>37/9/7</t>
  </si>
  <si>
    <t>37/9/8</t>
  </si>
  <si>
    <t>37/9/9</t>
  </si>
  <si>
    <t>37/9/10</t>
  </si>
  <si>
    <t>37/9/11</t>
  </si>
  <si>
    <t>37/9/12</t>
  </si>
  <si>
    <t>37/9/13</t>
  </si>
  <si>
    <t>37/9/14</t>
  </si>
  <si>
    <t>37/10</t>
  </si>
  <si>
    <t>37/10/1</t>
  </si>
  <si>
    <t>37/10/2</t>
  </si>
  <si>
    <t>37/10/3</t>
  </si>
  <si>
    <t>37/10/4</t>
  </si>
  <si>
    <t>37/10/5</t>
  </si>
  <si>
    <t>37/10/6</t>
  </si>
  <si>
    <t>37/10/7</t>
  </si>
  <si>
    <t>37/10/8</t>
  </si>
  <si>
    <t>37/10/9</t>
  </si>
  <si>
    <t>37/10/10</t>
  </si>
  <si>
    <t>37/10/11</t>
  </si>
  <si>
    <t>37/10/12</t>
  </si>
  <si>
    <t>37/10/13</t>
  </si>
  <si>
    <t>37/10/14</t>
  </si>
  <si>
    <t>37/11</t>
  </si>
  <si>
    <t>37/11/1</t>
  </si>
  <si>
    <t>37/11/2</t>
  </si>
  <si>
    <t>37/11/3</t>
  </si>
  <si>
    <t>37/11/4</t>
  </si>
  <si>
    <t>37/12</t>
  </si>
  <si>
    <t>37/12/1</t>
  </si>
  <si>
    <t>37/12/2</t>
  </si>
  <si>
    <t>37/12/3</t>
  </si>
  <si>
    <t>37/13</t>
  </si>
  <si>
    <t>37/14</t>
  </si>
  <si>
    <t>37/15</t>
  </si>
  <si>
    <t>37/16</t>
  </si>
  <si>
    <t>37/17</t>
  </si>
  <si>
    <t>37/18</t>
  </si>
  <si>
    <t>37/19</t>
  </si>
  <si>
    <t>37/20</t>
  </si>
  <si>
    <t>37/21</t>
  </si>
  <si>
    <t>37/22</t>
  </si>
  <si>
    <t>37/23</t>
  </si>
  <si>
    <t>37/24</t>
  </si>
  <si>
    <t>37/25</t>
  </si>
  <si>
    <t>37/26</t>
  </si>
  <si>
    <t>37/27</t>
  </si>
  <si>
    <t>37/28</t>
  </si>
  <si>
    <t>37/29</t>
  </si>
  <si>
    <t>37/30</t>
  </si>
  <si>
    <t>37/31</t>
  </si>
  <si>
    <t>37/32</t>
  </si>
  <si>
    <t>37/33</t>
  </si>
  <si>
    <t>37/34</t>
  </si>
  <si>
    <t>37/35</t>
  </si>
  <si>
    <t>37/36</t>
  </si>
  <si>
    <t>37/37</t>
  </si>
  <si>
    <t>37/38</t>
  </si>
  <si>
    <t>37/39</t>
  </si>
  <si>
    <t>37/40</t>
  </si>
  <si>
    <t>37/41</t>
  </si>
  <si>
    <t>37/42</t>
  </si>
  <si>
    <t>37/43</t>
  </si>
  <si>
    <t>37/44</t>
  </si>
  <si>
    <t>37/45</t>
  </si>
  <si>
    <t>37/46</t>
  </si>
  <si>
    <t>37/47</t>
  </si>
  <si>
    <t>37/48</t>
  </si>
  <si>
    <t>37/49</t>
  </si>
  <si>
    <t>37/50</t>
  </si>
  <si>
    <t>37/51</t>
  </si>
  <si>
    <t>37/52</t>
  </si>
  <si>
    <t>37/53</t>
  </si>
  <si>
    <t>37/54</t>
  </si>
  <si>
    <t>37/55</t>
  </si>
  <si>
    <t>37/56</t>
  </si>
  <si>
    <t>37/57</t>
  </si>
  <si>
    <t>37/58</t>
  </si>
  <si>
    <t>37/59</t>
  </si>
  <si>
    <t>37/60</t>
  </si>
  <si>
    <t>37/61</t>
  </si>
  <si>
    <t>37/62</t>
  </si>
  <si>
    <t>38/1</t>
  </si>
  <si>
    <t>38/2</t>
  </si>
  <si>
    <t>38/3</t>
  </si>
  <si>
    <t>38/4</t>
  </si>
  <si>
    <t>38/5</t>
  </si>
  <si>
    <t>38/6</t>
  </si>
  <si>
    <t>43/1</t>
  </si>
  <si>
    <t>43/2</t>
  </si>
  <si>
    <t>43/3</t>
  </si>
  <si>
    <t>43/4</t>
  </si>
  <si>
    <t>43/5</t>
  </si>
  <si>
    <t>43/6</t>
  </si>
  <si>
    <t>43/7</t>
  </si>
  <si>
    <t>43/8</t>
  </si>
  <si>
    <t>53/1</t>
  </si>
  <si>
    <t>53/2</t>
  </si>
  <si>
    <t>56</t>
  </si>
  <si>
    <t>58/4</t>
  </si>
  <si>
    <t>59/2</t>
  </si>
  <si>
    <t>59/3</t>
  </si>
  <si>
    <t>61/1</t>
  </si>
  <si>
    <t>61/2</t>
  </si>
  <si>
    <t>61/3</t>
  </si>
  <si>
    <t>61/4</t>
  </si>
  <si>
    <t>61/5</t>
  </si>
  <si>
    <t>61/6</t>
  </si>
  <si>
    <t>2/15</t>
  </si>
  <si>
    <t>Процессор: не менее Intel Core i7</t>
  </si>
  <si>
    <t>15/193</t>
  </si>
  <si>
    <t>Батарейки</t>
  </si>
  <si>
    <t>Типоразмер: АА (LR06)</t>
  </si>
  <si>
    <t>15/194</t>
  </si>
  <si>
    <t>Типоразмер: ААА</t>
  </si>
  <si>
    <t>15/195</t>
  </si>
  <si>
    <t>Влажные антистатические очищающие салфетки для ЭЛТ-мониторов.</t>
  </si>
  <si>
    <t>15/196</t>
  </si>
  <si>
    <t>Сетефой фильтр длина не менее 5 m (IEC вилка) цвет - черный.</t>
  </si>
  <si>
    <t>15/197</t>
  </si>
  <si>
    <t>Матрица CD-R емкостью 700Mb.</t>
  </si>
  <si>
    <t>15/198</t>
  </si>
  <si>
    <t>Объем памяти 2 Gb, Скорость чтения 20 Мб/сек.</t>
  </si>
  <si>
    <t>15/199</t>
  </si>
  <si>
    <t>Объем памяти 4 Gb, Скорость чтения 20 Мб/сек.</t>
  </si>
  <si>
    <t>15/200</t>
  </si>
  <si>
    <t>Нагрев воды: 90°С-92°С, Охлаждение: 10°С-15°С.</t>
  </si>
  <si>
    <t>15/201</t>
  </si>
  <si>
    <t>Объем памяти 8 Gb, Скорость чтения 20 Мб/сек.</t>
  </si>
  <si>
    <t>15/202</t>
  </si>
  <si>
    <t>Картридж HP CE505A. Цвет : черный Печать:  лазерная.</t>
  </si>
  <si>
    <t>15/203</t>
  </si>
  <si>
    <t>Проводная клавиатура QWERTY.</t>
  </si>
  <si>
    <t>15/204</t>
  </si>
  <si>
    <t>Матрица DVD-R емкостью не менее 4.7gb.</t>
  </si>
  <si>
    <t>15/205</t>
  </si>
  <si>
    <t>Мышь</t>
  </si>
  <si>
    <t>Тип подключения: Проводная, Интерфейс: USB.</t>
  </si>
  <si>
    <t>15/206</t>
  </si>
  <si>
    <t>Объем памяти 16 Gb, Скорость чтения 20 Мб/сек.</t>
  </si>
  <si>
    <t>15/207</t>
  </si>
  <si>
    <t>Картридж HP CE285A. Цвет: черный Печать: лазерная.</t>
  </si>
  <si>
    <t>15/208</t>
  </si>
  <si>
    <t>картридж HP CB278А Цвет:  черный Печать:  лазерная Кол-во копий: 2000 страниц . Наличие голограммы на упаковке</t>
  </si>
  <si>
    <t>15/209</t>
  </si>
  <si>
    <t xml:space="preserve"> Samsung MLT-D105L. Цвет: черный Печать:  лазерная.</t>
  </si>
  <si>
    <t>15/210</t>
  </si>
  <si>
    <t>Наушник с микрофоном</t>
  </si>
  <si>
    <t>Гарнитура (наушники с микрофоном)  черно-серебристая.</t>
  </si>
  <si>
    <t>15/211</t>
  </si>
  <si>
    <t>Матрица CD-RW емкостью 700Mb.</t>
  </si>
  <si>
    <t>15/212</t>
  </si>
  <si>
    <t xml:space="preserve"> HP Laser Jet P2015 (53AbP). Цвет:  черный Печать:  лазерная.</t>
  </si>
  <si>
    <t>15/213</t>
  </si>
  <si>
    <t>Внешний HDD емкостью 500Gb.</t>
  </si>
  <si>
    <t>15/214</t>
  </si>
  <si>
    <t>Компьютерная мышь беспроводная</t>
  </si>
  <si>
    <t>Тип: Беспроводная оптическая мышь Интерфейс: USB.</t>
  </si>
  <si>
    <t>15/215</t>
  </si>
  <si>
    <t>Размеры: 48,5 мм × 26,5 мм × 17,5 мм.</t>
  </si>
  <si>
    <t>15/216</t>
  </si>
  <si>
    <t>Картридж на принтер</t>
  </si>
  <si>
    <t>Deskjet F4586 (HP Color 121). Цвет: цветной Печать:  струйная.</t>
  </si>
  <si>
    <t>15/217</t>
  </si>
  <si>
    <t>Deskjet F4586 (HP Black 121). Цвет: цветной Печать:  струйная.</t>
  </si>
  <si>
    <t>15/218</t>
  </si>
  <si>
    <t>Тип оборудования:  Накопитель 2.5'' Емкость диска:   не менее 300 Гб.</t>
  </si>
  <si>
    <t>15/219</t>
  </si>
  <si>
    <t>Тип жесткого диска  Внешний HDD. Форм-фактор  2.5". Емкость накопителя  750.</t>
  </si>
  <si>
    <t>15/220</t>
  </si>
  <si>
    <t xml:space="preserve">Опечатывающее устройство </t>
  </si>
  <si>
    <t>Опечатывающее устройство «флажок» применяется совместно с пломбиром (металлической печатью) диаметром 25 мм.</t>
  </si>
  <si>
    <t>15/221</t>
  </si>
  <si>
    <t>Пломбир</t>
  </si>
  <si>
    <t>Пломбиры  - это металлические печати, предназначенные для опечатывания дверей, сейфов, металлических шкафов и др.</t>
  </si>
  <si>
    <t>15/222</t>
  </si>
  <si>
    <t>Стремянка алюминиевая</t>
  </si>
  <si>
    <t>Количество ступеней  3 (шт.). Высота стремянки (В)  1.25 (м). Рабочая высота (С)  2.68 (м)</t>
  </si>
  <si>
    <t>15/223</t>
  </si>
  <si>
    <t>Дрель-шуруповерт</t>
  </si>
  <si>
    <t>15/224</t>
  </si>
  <si>
    <t>Водонагреватель</t>
  </si>
  <si>
    <t>Мощность (кВт): 3. Объем (литр):  40</t>
  </si>
  <si>
    <t>15/225</t>
  </si>
  <si>
    <t>Аккустическая система (колонки)</t>
  </si>
  <si>
    <t>Мощность - 2 х 0.5 Вт (RMS). Чувствительность -  220 мВ</t>
  </si>
  <si>
    <t>Техническое сопровождение серверного оборудования HP</t>
  </si>
  <si>
    <t>АО "Казахтелеком"</t>
  </si>
  <si>
    <t>21/19</t>
  </si>
  <si>
    <t>Услуги виртуальной частной сети IP/VPN</t>
  </si>
  <si>
    <t>28/17</t>
  </si>
  <si>
    <t>г. Уральск</t>
  </si>
  <si>
    <t>11/26</t>
  </si>
  <si>
    <t>Считыватель смарт-картс нанесением логотипа</t>
  </si>
  <si>
    <t>11/27</t>
  </si>
  <si>
    <t>11/28</t>
  </si>
  <si>
    <t>11/29</t>
  </si>
  <si>
    <t>15/226</t>
  </si>
  <si>
    <t>Мощность – 11 Вт. Напряжение 160 – 260 В. Освещённость – 990 Лм. Цоколь – Е 27.</t>
  </si>
  <si>
    <t>15/227</t>
  </si>
  <si>
    <t>Стремянка</t>
  </si>
  <si>
    <t>Двухсторонняя  складная подставка , лёгкая  и устойчивая. Верхняя площадка 350 х 200мм.   Высота – 0,45м.</t>
  </si>
  <si>
    <t>17/21</t>
  </si>
  <si>
    <t xml:space="preserve">Бланки приказов (Альбомные)
</t>
  </si>
  <si>
    <t>17/22</t>
  </si>
  <si>
    <t xml:space="preserve">Бланки приказов
</t>
  </si>
  <si>
    <t xml:space="preserve">Бланки приказов (Книжные)
</t>
  </si>
  <si>
    <t>17/23</t>
  </si>
  <si>
    <t>17/24</t>
  </si>
  <si>
    <t>Дырокол</t>
  </si>
  <si>
    <t>дырокол</t>
  </si>
  <si>
    <t>17/25</t>
  </si>
  <si>
    <t>Антистеплер</t>
  </si>
  <si>
    <t>антистеплер</t>
  </si>
  <si>
    <t>17/26</t>
  </si>
  <si>
    <t>Бумага для записи</t>
  </si>
  <si>
    <t>Бумага для записи 90х90 500л. бел.</t>
  </si>
  <si>
    <t>17/27</t>
  </si>
  <si>
    <t>Ручка</t>
  </si>
  <si>
    <t>Ручка с красной пастой</t>
  </si>
  <si>
    <t>17/28</t>
  </si>
  <si>
    <t>Ручка с черной пастой</t>
  </si>
  <si>
    <t>17/29</t>
  </si>
  <si>
    <t>Зажимы № 19</t>
  </si>
  <si>
    <t>17/30</t>
  </si>
  <si>
    <t>Зажимы № 25</t>
  </si>
  <si>
    <t>17/31</t>
  </si>
  <si>
    <t>Зажимы № 51</t>
  </si>
  <si>
    <t>17/32</t>
  </si>
  <si>
    <t>Зажимы № 41</t>
  </si>
  <si>
    <t>17/33</t>
  </si>
  <si>
    <t>Калькулятор</t>
  </si>
  <si>
    <t>Калькулятор 12 разр.</t>
  </si>
  <si>
    <t>17/34</t>
  </si>
  <si>
    <t>конверты А4</t>
  </si>
  <si>
    <t>17/35</t>
  </si>
  <si>
    <t>17/36</t>
  </si>
  <si>
    <t>конверты  маленькие  А6</t>
  </si>
  <si>
    <t>17/37</t>
  </si>
  <si>
    <t>Книга учета 192 л кл. бел. канцелярская А4 (в твердом переплете)</t>
  </si>
  <si>
    <t>17/38</t>
  </si>
  <si>
    <t>Клей-карандаш</t>
  </si>
  <si>
    <t xml:space="preserve">Клей-карандаш  22гр. </t>
  </si>
  <si>
    <t>17/39</t>
  </si>
  <si>
    <t xml:space="preserve">Карандаш </t>
  </si>
  <si>
    <t>17/40</t>
  </si>
  <si>
    <t>Ластик</t>
  </si>
  <si>
    <t>17/41</t>
  </si>
  <si>
    <t>Линейка 25 см</t>
  </si>
  <si>
    <t>17/42</t>
  </si>
  <si>
    <t>Лоток для бумаг</t>
  </si>
  <si>
    <t xml:space="preserve">Лоток для бумаг вертикальный </t>
  </si>
  <si>
    <t>17/43</t>
  </si>
  <si>
    <t>Маркеры для доски</t>
  </si>
  <si>
    <t>17/44</t>
  </si>
  <si>
    <t>Маркер для СD</t>
  </si>
  <si>
    <t>17/45</t>
  </si>
  <si>
    <t>Ручка шариковая</t>
  </si>
  <si>
    <t>Ручка шариковая автоматическая (с кнопкой)</t>
  </si>
  <si>
    <t>17/46</t>
  </si>
  <si>
    <t>Скотч прозрачный</t>
  </si>
  <si>
    <t>Скотч прозрачный 12х10м</t>
  </si>
  <si>
    <t>17/47</t>
  </si>
  <si>
    <t>Скобы 24/6</t>
  </si>
  <si>
    <t>17/48</t>
  </si>
  <si>
    <t>Скобы 23/8</t>
  </si>
  <si>
    <t>17/49</t>
  </si>
  <si>
    <t xml:space="preserve">Скоросшиватель прозрачный </t>
  </si>
  <si>
    <t>17/50</t>
  </si>
  <si>
    <t>Скоросшиватели с пружинкой</t>
  </si>
  <si>
    <t>17/51</t>
  </si>
  <si>
    <t>Степлер</t>
  </si>
  <si>
    <t>степлер-№24/6</t>
  </si>
  <si>
    <t>17/52</t>
  </si>
  <si>
    <t>степлер-№10</t>
  </si>
  <si>
    <t>17/53</t>
  </si>
  <si>
    <t>Скобы</t>
  </si>
  <si>
    <t>скобы 10</t>
  </si>
  <si>
    <t>17/54</t>
  </si>
  <si>
    <t>Губка для доски</t>
  </si>
  <si>
    <t>17/55</t>
  </si>
  <si>
    <t>Тетрадь общая</t>
  </si>
  <si>
    <t>тетрадь общая</t>
  </si>
  <si>
    <t>17/56</t>
  </si>
  <si>
    <t>Стикеры гелевые</t>
  </si>
  <si>
    <t>17/57</t>
  </si>
  <si>
    <t>Точилка для карандашей</t>
  </si>
  <si>
    <t>17/58</t>
  </si>
  <si>
    <t>Уголок прозрачный</t>
  </si>
  <si>
    <t>уголок прозрачный</t>
  </si>
  <si>
    <t>17/59</t>
  </si>
  <si>
    <t>Фломастеры</t>
  </si>
  <si>
    <t>Фломастеры 6 цв</t>
  </si>
  <si>
    <t>17/60</t>
  </si>
  <si>
    <t>Штрих</t>
  </si>
  <si>
    <t>17/61</t>
  </si>
  <si>
    <t>Обложка для переплёта</t>
  </si>
  <si>
    <t>Обложка для переплёта картонная</t>
  </si>
  <si>
    <t>17/62</t>
  </si>
  <si>
    <t>Шпагат</t>
  </si>
  <si>
    <t>Бухта</t>
  </si>
  <si>
    <t>17/63</t>
  </si>
  <si>
    <t>Ежедневник недатированный</t>
  </si>
  <si>
    <t>17/64</t>
  </si>
  <si>
    <t>Лоток горизонтальный</t>
  </si>
  <si>
    <t xml:space="preserve">Лоток горизонтальный - 5 секционный (серый, черный) </t>
  </si>
  <si>
    <t>17/65</t>
  </si>
  <si>
    <t>17/66</t>
  </si>
  <si>
    <t>Набор настольный</t>
  </si>
  <si>
    <t>Набор настольный (органайзер)</t>
  </si>
  <si>
    <t>17/67</t>
  </si>
  <si>
    <t>Нож макетный</t>
  </si>
  <si>
    <t>17/68</t>
  </si>
  <si>
    <t>17/69</t>
  </si>
  <si>
    <t>Файл прозрачный</t>
  </si>
  <si>
    <t>17/70</t>
  </si>
  <si>
    <t xml:space="preserve">Нитки для прошивки документов
</t>
  </si>
  <si>
    <t>17/71</t>
  </si>
  <si>
    <t>Ножницы</t>
  </si>
  <si>
    <t>ножницы 16,5 см</t>
  </si>
  <si>
    <t>17/72</t>
  </si>
  <si>
    <t xml:space="preserve">Обложки для изготовления брошюр </t>
  </si>
  <si>
    <t>17/73</t>
  </si>
  <si>
    <t xml:space="preserve">Папка (прозрачная с кнопкой)
</t>
  </si>
  <si>
    <t>17/74</t>
  </si>
  <si>
    <t>Папка с файлами</t>
  </si>
  <si>
    <t>17/75</t>
  </si>
  <si>
    <t>Папка регистр</t>
  </si>
  <si>
    <t xml:space="preserve">Папка регистр 70мм </t>
  </si>
  <si>
    <t>17/76</t>
  </si>
  <si>
    <t>Папка на резинке</t>
  </si>
  <si>
    <t>17/77</t>
  </si>
  <si>
    <t>Папка-бегунок</t>
  </si>
  <si>
    <t>17/78</t>
  </si>
  <si>
    <t>Рамка для сертификата</t>
  </si>
  <si>
    <t>Рамка для сертификата 21х30</t>
  </si>
  <si>
    <t>17/79</t>
  </si>
  <si>
    <t>17/80</t>
  </si>
  <si>
    <t>17/81</t>
  </si>
  <si>
    <t>Бумага (липкая)</t>
  </si>
  <si>
    <t>17/82</t>
  </si>
  <si>
    <t>Спирали для прошивания документов</t>
  </si>
  <si>
    <t>17/83</t>
  </si>
  <si>
    <t>Скрепки</t>
  </si>
  <si>
    <t>17/84</t>
  </si>
  <si>
    <t>Скоросшиватели</t>
  </si>
  <si>
    <t>Скоросшиватели арт. S205</t>
  </si>
  <si>
    <t>18/19</t>
  </si>
  <si>
    <t xml:space="preserve">Бумага офисная
</t>
  </si>
  <si>
    <t xml:space="preserve">Бумага офисная - А4 500л. 80гр. (класс "С" белизна 146% )
</t>
  </si>
  <si>
    <t>18/20</t>
  </si>
  <si>
    <t xml:space="preserve">Скоросшиватель </t>
  </si>
  <si>
    <t>18/21</t>
  </si>
  <si>
    <t>Файл прозрачный - А4</t>
  </si>
  <si>
    <t>упак.</t>
  </si>
  <si>
    <t>18/22</t>
  </si>
  <si>
    <t>Ручка (шариковая)</t>
  </si>
  <si>
    <t>18/23</t>
  </si>
  <si>
    <t xml:space="preserve">Папка на резинке </t>
  </si>
  <si>
    <t>18/24</t>
  </si>
  <si>
    <t>Папка с файлами - А4 30 ассорти</t>
  </si>
  <si>
    <t>18/25</t>
  </si>
  <si>
    <t>Папка "На подпись"</t>
  </si>
  <si>
    <t>18/26</t>
  </si>
  <si>
    <t>Карандаш</t>
  </si>
  <si>
    <t>18/27</t>
  </si>
  <si>
    <t>18/28</t>
  </si>
  <si>
    <t>18/29</t>
  </si>
  <si>
    <t>Клей жидкий</t>
  </si>
  <si>
    <t>18/30</t>
  </si>
  <si>
    <t>Бумага для заметок</t>
  </si>
  <si>
    <t>Бумага д/заметок</t>
  </si>
  <si>
    <t>18/31</t>
  </si>
  <si>
    <t>Бумага для записей</t>
  </si>
  <si>
    <t>бумага для записей</t>
  </si>
  <si>
    <t>18/32</t>
  </si>
  <si>
    <t>Скотч 18х20мм</t>
  </si>
  <si>
    <t>18/33</t>
  </si>
  <si>
    <t>Корректор</t>
  </si>
  <si>
    <t>Корректор в наборе</t>
  </si>
  <si>
    <t>компл.</t>
  </si>
  <si>
    <t>18/34</t>
  </si>
  <si>
    <t>Корзины для мусора</t>
  </si>
  <si>
    <t>18/35</t>
  </si>
  <si>
    <t>Маркеры текстовые</t>
  </si>
  <si>
    <t>18/36</t>
  </si>
  <si>
    <t>Рулетка для бейджей</t>
  </si>
  <si>
    <t>18/37</t>
  </si>
  <si>
    <t>Бумага офисная - А4 500л. 80гр. (класс "С" белизна 146% )</t>
  </si>
  <si>
    <t>18/38</t>
  </si>
  <si>
    <t xml:space="preserve">Тетрадь </t>
  </si>
  <si>
    <t xml:space="preserve">Тетрадь - А5  48л. клетка </t>
  </si>
  <si>
    <t>18/39</t>
  </si>
  <si>
    <t>Папка регистратор</t>
  </si>
  <si>
    <t xml:space="preserve">Папка регистратор - А4 70 мм </t>
  </si>
  <si>
    <t>18/40</t>
  </si>
  <si>
    <t xml:space="preserve">Папка регистратор - А4 50мм </t>
  </si>
  <si>
    <t>18/41</t>
  </si>
  <si>
    <t>Книга учета А4 192 листа клетка</t>
  </si>
  <si>
    <t>18/42</t>
  </si>
  <si>
    <t>Конверты большие</t>
  </si>
  <si>
    <t>Конверты большие 229х324</t>
  </si>
  <si>
    <t>18/43</t>
  </si>
  <si>
    <t>18/44</t>
  </si>
  <si>
    <t>18/45</t>
  </si>
  <si>
    <t>18/46</t>
  </si>
  <si>
    <t>18/47</t>
  </si>
  <si>
    <t>Скобы 10</t>
  </si>
  <si>
    <t>18/48</t>
  </si>
  <si>
    <t>18/49</t>
  </si>
  <si>
    <t>Скотч 80х66мм</t>
  </si>
  <si>
    <t>18/50</t>
  </si>
  <si>
    <t>Скотч 48х66мм</t>
  </si>
  <si>
    <t>18/51</t>
  </si>
  <si>
    <t>18/52</t>
  </si>
  <si>
    <t>Индексы</t>
  </si>
  <si>
    <t xml:space="preserve">Индексы в наборе </t>
  </si>
  <si>
    <t>18/53</t>
  </si>
  <si>
    <t>18/54</t>
  </si>
  <si>
    <t>Ежедневник</t>
  </si>
  <si>
    <t>18/55</t>
  </si>
  <si>
    <t>18/56</t>
  </si>
  <si>
    <t xml:space="preserve">Бумага офисная 
</t>
  </si>
  <si>
    <t>18/57</t>
  </si>
  <si>
    <t>18/58</t>
  </si>
  <si>
    <t>18/59</t>
  </si>
  <si>
    <t>Конверты маленькие</t>
  </si>
  <si>
    <t>Конверты маленькие 110х230</t>
  </si>
  <si>
    <t>18/60</t>
  </si>
  <si>
    <t>18/61</t>
  </si>
  <si>
    <t>18/62</t>
  </si>
  <si>
    <t>Ручка (гелевая)</t>
  </si>
  <si>
    <t>18/63</t>
  </si>
  <si>
    <t>18/64</t>
  </si>
  <si>
    <t>Папка кнопкой</t>
  </si>
  <si>
    <t>18/65</t>
  </si>
  <si>
    <t>18/66</t>
  </si>
  <si>
    <t>18/67</t>
  </si>
  <si>
    <t>18/68</t>
  </si>
  <si>
    <t>Нить</t>
  </si>
  <si>
    <t>18/69</t>
  </si>
  <si>
    <t>Макетный нож</t>
  </si>
  <si>
    <t>18/70</t>
  </si>
  <si>
    <t xml:space="preserve">Дырокол  </t>
  </si>
  <si>
    <t>18/71</t>
  </si>
  <si>
    <t xml:space="preserve">Дырокол - 60-70л. </t>
  </si>
  <si>
    <t>18/72</t>
  </si>
  <si>
    <t>18/73</t>
  </si>
  <si>
    <t>18/74</t>
  </si>
  <si>
    <t>18/75</t>
  </si>
  <si>
    <t>Степлер № 10</t>
  </si>
  <si>
    <t>18/76</t>
  </si>
  <si>
    <t>Степлер № 24/6</t>
  </si>
  <si>
    <t>18/77</t>
  </si>
  <si>
    <t>18/78</t>
  </si>
  <si>
    <t>Зажимы</t>
  </si>
  <si>
    <t>Зажимы № 19     12 шт.</t>
  </si>
  <si>
    <t>18/79</t>
  </si>
  <si>
    <t>Зажимы № 32    12 шт.</t>
  </si>
  <si>
    <t>18/80</t>
  </si>
  <si>
    <t>Зажимы № 41    12 шт.</t>
  </si>
  <si>
    <t>18/81</t>
  </si>
  <si>
    <t>18/82</t>
  </si>
  <si>
    <t>18/83</t>
  </si>
  <si>
    <t>18/84</t>
  </si>
  <si>
    <t>Калькулятор  12 разр.</t>
  </si>
  <si>
    <t>18/85</t>
  </si>
  <si>
    <t>18/86</t>
  </si>
  <si>
    <t>Маркер неперманентный</t>
  </si>
  <si>
    <t xml:space="preserve">Маркер неперманентный - чёрный круглый </t>
  </si>
  <si>
    <t>18/87</t>
  </si>
  <si>
    <t>18/88</t>
  </si>
  <si>
    <t>18/89</t>
  </si>
  <si>
    <t>18/90</t>
  </si>
  <si>
    <t>18/91</t>
  </si>
  <si>
    <t>Увлажнитель для пальцев</t>
  </si>
  <si>
    <t>Увлажнитель д/пальцев кругл.</t>
  </si>
  <si>
    <t>18/92</t>
  </si>
  <si>
    <t xml:space="preserve">Блокнот </t>
  </si>
  <si>
    <t>18/93</t>
  </si>
  <si>
    <t>18/94</t>
  </si>
  <si>
    <t>18/95</t>
  </si>
  <si>
    <t>Бейдж вертикальный на ленте</t>
  </si>
  <si>
    <t>18/96</t>
  </si>
  <si>
    <t>18/97</t>
  </si>
  <si>
    <t>Портфель пластиковый</t>
  </si>
  <si>
    <t>Портфель пластиковый для хранения и транспортировки документов формата А4.</t>
  </si>
  <si>
    <t>18/98</t>
  </si>
  <si>
    <t xml:space="preserve">Папка с боковым зажимом </t>
  </si>
  <si>
    <t>18/99</t>
  </si>
  <si>
    <t>Скоросшиватель пластик</t>
  </si>
  <si>
    <t>18/100</t>
  </si>
  <si>
    <t>Визитницы</t>
  </si>
  <si>
    <t>18/101</t>
  </si>
  <si>
    <t>18/102</t>
  </si>
  <si>
    <t>18/103</t>
  </si>
  <si>
    <t>Книга регистрации</t>
  </si>
  <si>
    <t xml:space="preserve">Книга регистрации входящей корреспонденции </t>
  </si>
  <si>
    <t>18/104</t>
  </si>
  <si>
    <t>Книга  регистрации</t>
  </si>
  <si>
    <t xml:space="preserve">Книга  регистрации исходящей корреспонденции </t>
  </si>
  <si>
    <t>18/105</t>
  </si>
  <si>
    <t>18/106</t>
  </si>
  <si>
    <t>18/107</t>
  </si>
  <si>
    <t>18/108</t>
  </si>
  <si>
    <t>18/109</t>
  </si>
  <si>
    <t>18/110</t>
  </si>
  <si>
    <t>18/111</t>
  </si>
  <si>
    <t>18/112</t>
  </si>
  <si>
    <t>18/113</t>
  </si>
  <si>
    <t>18/114</t>
  </si>
  <si>
    <t>18/115</t>
  </si>
  <si>
    <t>18/116</t>
  </si>
  <si>
    <t>18/117</t>
  </si>
  <si>
    <t>18/118</t>
  </si>
  <si>
    <t>18/119</t>
  </si>
  <si>
    <t>18/120</t>
  </si>
  <si>
    <t>18/121</t>
  </si>
  <si>
    <t>Штрих-ручка</t>
  </si>
  <si>
    <t>18/122</t>
  </si>
  <si>
    <t>18/123</t>
  </si>
  <si>
    <t>18/124</t>
  </si>
  <si>
    <t>Бумага офисная - А4 500л. 80гр. (класс "С" белизна 146%)</t>
  </si>
  <si>
    <t>18/125</t>
  </si>
  <si>
    <t>18/126</t>
  </si>
  <si>
    <t>18/127</t>
  </si>
  <si>
    <t>18/128</t>
  </si>
  <si>
    <t xml:space="preserve">Конверты большие 250х350 </t>
  </si>
  <si>
    <t>18/129</t>
  </si>
  <si>
    <t>18/130</t>
  </si>
  <si>
    <t>18/131</t>
  </si>
  <si>
    <t>18/132</t>
  </si>
  <si>
    <t>Лоток для бумаг горизонтальный</t>
  </si>
  <si>
    <t>18/133</t>
  </si>
  <si>
    <t>18/134</t>
  </si>
  <si>
    <t>18/135</t>
  </si>
  <si>
    <t>18/136</t>
  </si>
  <si>
    <t>18/137</t>
  </si>
  <si>
    <t>18/138</t>
  </si>
  <si>
    <t>18/139</t>
  </si>
  <si>
    <t>18/140</t>
  </si>
  <si>
    <t>18/141</t>
  </si>
  <si>
    <t>18/142</t>
  </si>
  <si>
    <t>Линейка</t>
  </si>
  <si>
    <t>Линейка 30 см</t>
  </si>
  <si>
    <t>18/143</t>
  </si>
  <si>
    <t>18/144</t>
  </si>
  <si>
    <t>18/145</t>
  </si>
  <si>
    <t>18/146</t>
  </si>
  <si>
    <t>18/147</t>
  </si>
  <si>
    <t>18/148</t>
  </si>
  <si>
    <t>18/149</t>
  </si>
  <si>
    <t>18/150</t>
  </si>
  <si>
    <t>18/151</t>
  </si>
  <si>
    <t>18/152</t>
  </si>
  <si>
    <t>18/153</t>
  </si>
  <si>
    <t>18/154</t>
  </si>
  <si>
    <t>18/155</t>
  </si>
  <si>
    <t>18/156</t>
  </si>
  <si>
    <t>18/157</t>
  </si>
  <si>
    <t>18/158</t>
  </si>
  <si>
    <t>18/159</t>
  </si>
  <si>
    <t>18/160</t>
  </si>
  <si>
    <t>18/161</t>
  </si>
  <si>
    <t>18/162</t>
  </si>
  <si>
    <t>18/163</t>
  </si>
  <si>
    <t>18/164</t>
  </si>
  <si>
    <t>18/165</t>
  </si>
  <si>
    <t>18/166</t>
  </si>
  <si>
    <t>Рамка</t>
  </si>
  <si>
    <t>18/167</t>
  </si>
  <si>
    <t>18/168</t>
  </si>
  <si>
    <t>18/169</t>
  </si>
  <si>
    <t>18/170</t>
  </si>
  <si>
    <t>18/171</t>
  </si>
  <si>
    <t>Набор деревяный офисный</t>
  </si>
  <si>
    <t>18/172</t>
  </si>
  <si>
    <t>Этикетки самоклеющиеся</t>
  </si>
  <si>
    <t xml:space="preserve">Этикетки самоклеющиеся А4 </t>
  </si>
  <si>
    <t>18/173</t>
  </si>
  <si>
    <t>18/174</t>
  </si>
  <si>
    <t>18/175</t>
  </si>
  <si>
    <t>18/176</t>
  </si>
  <si>
    <t>18/177</t>
  </si>
  <si>
    <t>Портрет Президента</t>
  </si>
  <si>
    <t>18/178</t>
  </si>
  <si>
    <t>Доска маркерно-магнитная</t>
  </si>
  <si>
    <t>Доска маркерно-магнитная - 120х90 сухостираемая</t>
  </si>
  <si>
    <t>18/179</t>
  </si>
  <si>
    <t xml:space="preserve">Бумага с клеевым краем </t>
  </si>
  <si>
    <t>18/180</t>
  </si>
  <si>
    <t>Конверт-пакет</t>
  </si>
  <si>
    <t>18/181</t>
  </si>
  <si>
    <t>18/182</t>
  </si>
  <si>
    <t>18/183</t>
  </si>
  <si>
    <t>18/184</t>
  </si>
  <si>
    <t>18/185</t>
  </si>
  <si>
    <t>18/186</t>
  </si>
  <si>
    <t>18/187</t>
  </si>
  <si>
    <t>18/188</t>
  </si>
  <si>
    <t>18/189</t>
  </si>
  <si>
    <t>18/190</t>
  </si>
  <si>
    <t>18/191</t>
  </si>
  <si>
    <t>18/192</t>
  </si>
  <si>
    <t>18/193</t>
  </si>
  <si>
    <t>18/194</t>
  </si>
  <si>
    <t>18/195</t>
  </si>
  <si>
    <t>18/196</t>
  </si>
  <si>
    <t>18/197</t>
  </si>
  <si>
    <t>18/198</t>
  </si>
  <si>
    <t>18/199</t>
  </si>
  <si>
    <t>18/200</t>
  </si>
  <si>
    <t>18/201</t>
  </si>
  <si>
    <t>18/202</t>
  </si>
  <si>
    <t>18/203</t>
  </si>
  <si>
    <t>18/204</t>
  </si>
  <si>
    <t>18/205</t>
  </si>
  <si>
    <t>18/206</t>
  </si>
  <si>
    <t>18/207</t>
  </si>
  <si>
    <t>18/208</t>
  </si>
  <si>
    <t>18/209</t>
  </si>
  <si>
    <t>18/210</t>
  </si>
  <si>
    <t>18/211</t>
  </si>
  <si>
    <t>18/212</t>
  </si>
  <si>
    <t>18/213</t>
  </si>
  <si>
    <t>18/214</t>
  </si>
  <si>
    <t>18/215</t>
  </si>
  <si>
    <t>18/216</t>
  </si>
  <si>
    <t>18/217</t>
  </si>
  <si>
    <t>18/218</t>
  </si>
  <si>
    <t>18/219</t>
  </si>
  <si>
    <t>18/220</t>
  </si>
  <si>
    <t>18/221</t>
  </si>
  <si>
    <t>18/222</t>
  </si>
  <si>
    <t>18/223</t>
  </si>
  <si>
    <t>18/224</t>
  </si>
  <si>
    <t>18/225</t>
  </si>
  <si>
    <t>18/226</t>
  </si>
  <si>
    <t>Сменная подушка для круглой печати</t>
  </si>
  <si>
    <t>18/227</t>
  </si>
  <si>
    <t>18/228</t>
  </si>
  <si>
    <t>18/229</t>
  </si>
  <si>
    <t>18/230</t>
  </si>
  <si>
    <t>18/231</t>
  </si>
  <si>
    <t>18/232</t>
  </si>
  <si>
    <t>18/233</t>
  </si>
  <si>
    <t>18/234</t>
  </si>
  <si>
    <t>18/235</t>
  </si>
  <si>
    <t>18/236</t>
  </si>
  <si>
    <t>18/237</t>
  </si>
  <si>
    <t>18/238</t>
  </si>
  <si>
    <t>18/239</t>
  </si>
  <si>
    <t>18/240</t>
  </si>
  <si>
    <t>18/241</t>
  </si>
  <si>
    <t>18/242</t>
  </si>
  <si>
    <t>18/243</t>
  </si>
  <si>
    <t>18/244</t>
  </si>
  <si>
    <t>18/245</t>
  </si>
  <si>
    <t>18/246</t>
  </si>
  <si>
    <t>18/247</t>
  </si>
  <si>
    <t>18/248</t>
  </si>
  <si>
    <t>18/249</t>
  </si>
  <si>
    <t>18/250</t>
  </si>
  <si>
    <t>18/251</t>
  </si>
  <si>
    <t>18/252</t>
  </si>
  <si>
    <t>18/253</t>
  </si>
  <si>
    <t>18/254</t>
  </si>
  <si>
    <t>18/255</t>
  </si>
  <si>
    <t>18/256</t>
  </si>
  <si>
    <t>18/257</t>
  </si>
  <si>
    <t>18/258</t>
  </si>
  <si>
    <t>18/259</t>
  </si>
  <si>
    <t>18/260</t>
  </si>
  <si>
    <t>18/261</t>
  </si>
  <si>
    <t>18/262</t>
  </si>
  <si>
    <t>18/263</t>
  </si>
  <si>
    <t>18/264</t>
  </si>
  <si>
    <t>18/265</t>
  </si>
  <si>
    <t>18/266</t>
  </si>
  <si>
    <t>18/267</t>
  </si>
  <si>
    <t>18/268</t>
  </si>
  <si>
    <t>18/269</t>
  </si>
  <si>
    <t>18/270</t>
  </si>
  <si>
    <t>18/271</t>
  </si>
  <si>
    <t>18/272</t>
  </si>
  <si>
    <t>18/273</t>
  </si>
  <si>
    <t>18/274</t>
  </si>
  <si>
    <t>18/275</t>
  </si>
  <si>
    <t>Мастика</t>
  </si>
  <si>
    <t>Мастика - синяя 28 мл</t>
  </si>
  <si>
    <t>18/276</t>
  </si>
  <si>
    <t>18/277</t>
  </si>
  <si>
    <t>18/278</t>
  </si>
  <si>
    <t>18/279</t>
  </si>
  <si>
    <t>18/280</t>
  </si>
  <si>
    <t>18/281</t>
  </si>
  <si>
    <t>18/282</t>
  </si>
  <si>
    <t>18/283</t>
  </si>
  <si>
    <t>18/284</t>
  </si>
  <si>
    <t>18/285</t>
  </si>
  <si>
    <t>18/286</t>
  </si>
  <si>
    <t>18/287</t>
  </si>
  <si>
    <t>18/288</t>
  </si>
  <si>
    <t>18/289</t>
  </si>
  <si>
    <t>18/290</t>
  </si>
  <si>
    <t>18/291</t>
  </si>
  <si>
    <t>18/292</t>
  </si>
  <si>
    <t>18/293</t>
  </si>
  <si>
    <t>Макетный нож - 9cм. в блистере (Maped)</t>
  </si>
  <si>
    <t>Макетный нож - 9cм. в блистере</t>
  </si>
  <si>
    <t>18/294</t>
  </si>
  <si>
    <t>Ремешок для бейджа</t>
  </si>
  <si>
    <t>Ремешок д/бейджа - темно-синий</t>
  </si>
  <si>
    <t>18/295</t>
  </si>
  <si>
    <t>18/296</t>
  </si>
  <si>
    <t>18/297</t>
  </si>
  <si>
    <t>18/298</t>
  </si>
  <si>
    <t>18/299</t>
  </si>
  <si>
    <t>18/300</t>
  </si>
  <si>
    <t>18/301</t>
  </si>
  <si>
    <t>18/302</t>
  </si>
  <si>
    <t>18/303</t>
  </si>
  <si>
    <t>Файл прозрачный - А4 (уголок)</t>
  </si>
  <si>
    <t>18/304</t>
  </si>
  <si>
    <t>18/305</t>
  </si>
  <si>
    <t>18/306</t>
  </si>
  <si>
    <t>18/307</t>
  </si>
  <si>
    <t>18/308</t>
  </si>
  <si>
    <t>18/309</t>
  </si>
  <si>
    <t>18/310</t>
  </si>
  <si>
    <t>18/311</t>
  </si>
  <si>
    <t>18/312</t>
  </si>
  <si>
    <t>18/313</t>
  </si>
  <si>
    <t>18/314</t>
  </si>
  <si>
    <t>18/315</t>
  </si>
  <si>
    <t>18/316</t>
  </si>
  <si>
    <t>18/317</t>
  </si>
  <si>
    <t>18/318</t>
  </si>
  <si>
    <t>18/319</t>
  </si>
  <si>
    <t>18/320</t>
  </si>
  <si>
    <t>18/321</t>
  </si>
  <si>
    <t>18/322</t>
  </si>
  <si>
    <t>18/323</t>
  </si>
  <si>
    <t>18/324</t>
  </si>
  <si>
    <t>18/325</t>
  </si>
  <si>
    <t>18/326</t>
  </si>
  <si>
    <t>18/327</t>
  </si>
  <si>
    <t>18/328</t>
  </si>
  <si>
    <t>Костанайский ОЦИТ (Аркалыкское отделение)</t>
  </si>
  <si>
    <t>18/329</t>
  </si>
  <si>
    <t>18/330</t>
  </si>
  <si>
    <t>18/331</t>
  </si>
  <si>
    <t>18/332</t>
  </si>
  <si>
    <t>18/333</t>
  </si>
  <si>
    <t>18/334</t>
  </si>
  <si>
    <t>18/335</t>
  </si>
  <si>
    <t>18/336</t>
  </si>
  <si>
    <t>18/337</t>
  </si>
  <si>
    <t>18/338</t>
  </si>
  <si>
    <t>18/339</t>
  </si>
  <si>
    <t>18/340</t>
  </si>
  <si>
    <t>18/341</t>
  </si>
  <si>
    <t>18/342</t>
  </si>
  <si>
    <t>18/343</t>
  </si>
  <si>
    <t>18/344</t>
  </si>
  <si>
    <t>18/345</t>
  </si>
  <si>
    <t>18/346</t>
  </si>
  <si>
    <t>18/347</t>
  </si>
  <si>
    <t>18/348</t>
  </si>
  <si>
    <t>18/349</t>
  </si>
  <si>
    <t>18/350</t>
  </si>
  <si>
    <t>18/351</t>
  </si>
  <si>
    <t>18/352</t>
  </si>
  <si>
    <t>18/353</t>
  </si>
  <si>
    <t>18/354</t>
  </si>
  <si>
    <t>18/355</t>
  </si>
  <si>
    <t>18/356</t>
  </si>
  <si>
    <t>18/357</t>
  </si>
  <si>
    <t>18/358</t>
  </si>
  <si>
    <t>18/359</t>
  </si>
  <si>
    <t>18/360</t>
  </si>
  <si>
    <t>18/361</t>
  </si>
  <si>
    <t>18/362</t>
  </si>
  <si>
    <t>18/363</t>
  </si>
  <si>
    <t>18/364</t>
  </si>
  <si>
    <t>18/365</t>
  </si>
  <si>
    <t>18/366</t>
  </si>
  <si>
    <t>18/367</t>
  </si>
  <si>
    <t>18/368</t>
  </si>
  <si>
    <t>18/369</t>
  </si>
  <si>
    <t>18/370</t>
  </si>
  <si>
    <t>18/371</t>
  </si>
  <si>
    <t>18/372</t>
  </si>
  <si>
    <t>18/373</t>
  </si>
  <si>
    <t>18/374</t>
  </si>
  <si>
    <t>18/375</t>
  </si>
  <si>
    <t>18/376</t>
  </si>
  <si>
    <t>18/377</t>
  </si>
  <si>
    <t>18/378</t>
  </si>
  <si>
    <t>18/379</t>
  </si>
  <si>
    <t>18/380</t>
  </si>
  <si>
    <t>18/381</t>
  </si>
  <si>
    <t>18/382</t>
  </si>
  <si>
    <t>18/383</t>
  </si>
  <si>
    <t>18/384</t>
  </si>
  <si>
    <t>18/385</t>
  </si>
  <si>
    <t>18/386</t>
  </si>
  <si>
    <t>18/387</t>
  </si>
  <si>
    <t>18/388</t>
  </si>
  <si>
    <t>18/389</t>
  </si>
  <si>
    <t>18/390</t>
  </si>
  <si>
    <t>18/391</t>
  </si>
  <si>
    <t>18/392</t>
  </si>
  <si>
    <t>18/393</t>
  </si>
  <si>
    <t>18/394</t>
  </si>
  <si>
    <t>18/395</t>
  </si>
  <si>
    <t>18/396</t>
  </si>
  <si>
    <t>18/397</t>
  </si>
  <si>
    <t>18/398</t>
  </si>
  <si>
    <t>18/399</t>
  </si>
  <si>
    <t>18/400</t>
  </si>
  <si>
    <t>18/401</t>
  </si>
  <si>
    <t>18/402</t>
  </si>
  <si>
    <t>18/403</t>
  </si>
  <si>
    <t>18/404</t>
  </si>
  <si>
    <t>18/405</t>
  </si>
  <si>
    <t>18/406</t>
  </si>
  <si>
    <t>18/407</t>
  </si>
  <si>
    <t>18/408</t>
  </si>
  <si>
    <t>18/409</t>
  </si>
  <si>
    <t>18/410</t>
  </si>
  <si>
    <t>18/411</t>
  </si>
  <si>
    <t>18/412</t>
  </si>
  <si>
    <t>18/413</t>
  </si>
  <si>
    <t>18/414</t>
  </si>
  <si>
    <t>18/415</t>
  </si>
  <si>
    <t>18/416</t>
  </si>
  <si>
    <t>18/417</t>
  </si>
  <si>
    <t>18/418</t>
  </si>
  <si>
    <t>18/419</t>
  </si>
  <si>
    <t>18/420</t>
  </si>
  <si>
    <t>18/421</t>
  </si>
  <si>
    <t>18/422</t>
  </si>
  <si>
    <t>18/423</t>
  </si>
  <si>
    <t>18/424</t>
  </si>
  <si>
    <t>18/425</t>
  </si>
  <si>
    <t>18/426</t>
  </si>
  <si>
    <t>18/427</t>
  </si>
  <si>
    <t>18/428</t>
  </si>
  <si>
    <t>18/429</t>
  </si>
  <si>
    <t>18/430</t>
  </si>
  <si>
    <t>18/431</t>
  </si>
  <si>
    <t>18/432</t>
  </si>
  <si>
    <t>18/433</t>
  </si>
  <si>
    <t>18/434</t>
  </si>
  <si>
    <t>18/435</t>
  </si>
  <si>
    <t>18/436</t>
  </si>
  <si>
    <t>18/437</t>
  </si>
  <si>
    <t>18/438</t>
  </si>
  <si>
    <t>18/439</t>
  </si>
  <si>
    <t>18/440</t>
  </si>
  <si>
    <t>18/441</t>
  </si>
  <si>
    <t>18/442</t>
  </si>
  <si>
    <t>18/443</t>
  </si>
  <si>
    <t>18/444</t>
  </si>
  <si>
    <t>18/445</t>
  </si>
  <si>
    <t>18/446</t>
  </si>
  <si>
    <t>18/447</t>
  </si>
  <si>
    <t>18/448</t>
  </si>
  <si>
    <t>18/449</t>
  </si>
  <si>
    <t>18/450</t>
  </si>
  <si>
    <t>18/451</t>
  </si>
  <si>
    <t>18/452</t>
  </si>
  <si>
    <t>18/453</t>
  </si>
  <si>
    <t>18/454</t>
  </si>
  <si>
    <t>18/455</t>
  </si>
  <si>
    <t>18/456</t>
  </si>
  <si>
    <t>18/457</t>
  </si>
  <si>
    <t>18/458</t>
  </si>
  <si>
    <t>18/459</t>
  </si>
  <si>
    <t>18/460</t>
  </si>
  <si>
    <t>18/461</t>
  </si>
  <si>
    <t>18/462</t>
  </si>
  <si>
    <t>18/463</t>
  </si>
  <si>
    <t>18/464</t>
  </si>
  <si>
    <t>18/465</t>
  </si>
  <si>
    <t>18/466</t>
  </si>
  <si>
    <t>18/467</t>
  </si>
  <si>
    <t>18/468</t>
  </si>
  <si>
    <t>18/469</t>
  </si>
  <si>
    <t>18/470</t>
  </si>
  <si>
    <t>18/471</t>
  </si>
  <si>
    <t>18/472</t>
  </si>
  <si>
    <t>18/473</t>
  </si>
  <si>
    <t>18/474</t>
  </si>
  <si>
    <t>18/475</t>
  </si>
  <si>
    <t>18/476</t>
  </si>
  <si>
    <t>18/477</t>
  </si>
  <si>
    <t>18/478</t>
  </si>
  <si>
    <t>18/479</t>
  </si>
  <si>
    <t>18/480</t>
  </si>
  <si>
    <t>18/481</t>
  </si>
  <si>
    <t>18/482</t>
  </si>
  <si>
    <t>18/483</t>
  </si>
  <si>
    <t>18/484</t>
  </si>
  <si>
    <t>18/485</t>
  </si>
  <si>
    <t>18/486</t>
  </si>
  <si>
    <t>18/487</t>
  </si>
  <si>
    <t>18/488</t>
  </si>
  <si>
    <t>18/489</t>
  </si>
  <si>
    <t>18/490</t>
  </si>
  <si>
    <t>18/491</t>
  </si>
  <si>
    <t>18/492</t>
  </si>
  <si>
    <t>18/493</t>
  </si>
  <si>
    <t>18/494</t>
  </si>
  <si>
    <t>18/495</t>
  </si>
  <si>
    <t>18/496</t>
  </si>
  <si>
    <t>18/497</t>
  </si>
  <si>
    <t>18/498</t>
  </si>
  <si>
    <t>18/499</t>
  </si>
  <si>
    <t>18/500</t>
  </si>
  <si>
    <t>18/501</t>
  </si>
  <si>
    <t>18/502</t>
  </si>
  <si>
    <t>18/503</t>
  </si>
  <si>
    <t>18/504</t>
  </si>
  <si>
    <t>18/505</t>
  </si>
  <si>
    <t>18/506</t>
  </si>
  <si>
    <t>18/507</t>
  </si>
  <si>
    <t>18/508</t>
  </si>
  <si>
    <t>18/509</t>
  </si>
  <si>
    <t>18/510</t>
  </si>
  <si>
    <t>18/511</t>
  </si>
  <si>
    <t>18/512</t>
  </si>
  <si>
    <t>18/513</t>
  </si>
  <si>
    <t>18/514</t>
  </si>
  <si>
    <t>18/515</t>
  </si>
  <si>
    <t>18/516</t>
  </si>
  <si>
    <t>18/517</t>
  </si>
  <si>
    <t>18/518</t>
  </si>
  <si>
    <t>Сменная штемпельная подушка</t>
  </si>
  <si>
    <t>18/519</t>
  </si>
  <si>
    <t>18/520</t>
  </si>
  <si>
    <t>18/521</t>
  </si>
  <si>
    <t>18/522</t>
  </si>
  <si>
    <t>18/523</t>
  </si>
  <si>
    <t>18/524</t>
  </si>
  <si>
    <t>18/525</t>
  </si>
  <si>
    <t>18/526</t>
  </si>
  <si>
    <t>18/527</t>
  </si>
  <si>
    <t>18/528</t>
  </si>
  <si>
    <t>18/529</t>
  </si>
  <si>
    <t>18/530</t>
  </si>
  <si>
    <t>18/531</t>
  </si>
  <si>
    <t>18/532</t>
  </si>
  <si>
    <t>18/533</t>
  </si>
  <si>
    <t>18/534</t>
  </si>
  <si>
    <t>18/535</t>
  </si>
  <si>
    <t>18/536</t>
  </si>
  <si>
    <t>18/537</t>
  </si>
  <si>
    <t>18/538</t>
  </si>
  <si>
    <t>18/539</t>
  </si>
  <si>
    <t>18/540</t>
  </si>
  <si>
    <t>18/541</t>
  </si>
  <si>
    <t>18/542</t>
  </si>
  <si>
    <t>18/543</t>
  </si>
  <si>
    <t>18/544</t>
  </si>
  <si>
    <t>18/545</t>
  </si>
  <si>
    <t>18/546</t>
  </si>
  <si>
    <t>18/547</t>
  </si>
  <si>
    <t>18/548</t>
  </si>
  <si>
    <t>18/549</t>
  </si>
  <si>
    <t>18/550</t>
  </si>
  <si>
    <t>18/551</t>
  </si>
  <si>
    <t>18/552</t>
  </si>
  <si>
    <t>18/553</t>
  </si>
  <si>
    <t>18/554</t>
  </si>
  <si>
    <t>18/555</t>
  </si>
  <si>
    <t>18/556</t>
  </si>
  <si>
    <t>18/557</t>
  </si>
  <si>
    <t>18/558</t>
  </si>
  <si>
    <t>18/559</t>
  </si>
  <si>
    <t>18/560</t>
  </si>
  <si>
    <t>Карандаш-автомат</t>
  </si>
  <si>
    <t>Карандаш-автомат 0.5мм</t>
  </si>
  <si>
    <t>18/561</t>
  </si>
  <si>
    <t xml:space="preserve">Бумага д/заметок 90*90*50см блок 3,4-х цв. </t>
  </si>
  <si>
    <t>18/562</t>
  </si>
  <si>
    <t>18/563</t>
  </si>
  <si>
    <t>18/564</t>
  </si>
  <si>
    <t>18/565</t>
  </si>
  <si>
    <t>18/566</t>
  </si>
  <si>
    <t>ЗКОЦИТ (Аксайское отделение)</t>
  </si>
  <si>
    <t>18/567</t>
  </si>
  <si>
    <t>18/568</t>
  </si>
  <si>
    <t>18/569</t>
  </si>
  <si>
    <t>18/570</t>
  </si>
  <si>
    <t>18/571</t>
  </si>
  <si>
    <t>18/572</t>
  </si>
  <si>
    <t>18/573</t>
  </si>
  <si>
    <t>18/574</t>
  </si>
  <si>
    <t>18/575</t>
  </si>
  <si>
    <t>18/576</t>
  </si>
  <si>
    <t>18/577</t>
  </si>
  <si>
    <t>18/578</t>
  </si>
  <si>
    <t>18/579</t>
  </si>
  <si>
    <t>18/580</t>
  </si>
  <si>
    <t>18/581</t>
  </si>
  <si>
    <t>18/582</t>
  </si>
  <si>
    <t>18/583</t>
  </si>
  <si>
    <t>18/584</t>
  </si>
  <si>
    <t>18/585</t>
  </si>
  <si>
    <t>18/586</t>
  </si>
  <si>
    <t>18/587</t>
  </si>
  <si>
    <t>18/588</t>
  </si>
  <si>
    <t>18/589</t>
  </si>
  <si>
    <t>18/590</t>
  </si>
  <si>
    <t>18/591</t>
  </si>
  <si>
    <t>18/592</t>
  </si>
  <si>
    <t>18/593</t>
  </si>
  <si>
    <t>18/594</t>
  </si>
  <si>
    <t>18/595</t>
  </si>
  <si>
    <t>18/596</t>
  </si>
  <si>
    <t>18/597</t>
  </si>
  <si>
    <t>18/598</t>
  </si>
  <si>
    <t>18/599</t>
  </si>
  <si>
    <t>18/600</t>
  </si>
  <si>
    <t>18/601</t>
  </si>
  <si>
    <t>18/602</t>
  </si>
  <si>
    <t>18/603</t>
  </si>
  <si>
    <t>18/604</t>
  </si>
  <si>
    <t>18/605</t>
  </si>
  <si>
    <t>18/606</t>
  </si>
  <si>
    <t>18/607</t>
  </si>
  <si>
    <t>18/608</t>
  </si>
  <si>
    <t>18/609</t>
  </si>
  <si>
    <t>18/610</t>
  </si>
  <si>
    <t>18/611</t>
  </si>
  <si>
    <t>18/612</t>
  </si>
  <si>
    <t>18/613</t>
  </si>
  <si>
    <t>18/614</t>
  </si>
  <si>
    <t>18/615</t>
  </si>
  <si>
    <t>18/616</t>
  </si>
  <si>
    <t>18/617</t>
  </si>
  <si>
    <t>18/618</t>
  </si>
  <si>
    <t>18/619</t>
  </si>
  <si>
    <t>18/620</t>
  </si>
  <si>
    <t>18/621</t>
  </si>
  <si>
    <t>18/622</t>
  </si>
  <si>
    <t>18/623</t>
  </si>
  <si>
    <t>18/624</t>
  </si>
  <si>
    <t>18/625</t>
  </si>
  <si>
    <t>18/626</t>
  </si>
  <si>
    <t>18/627</t>
  </si>
  <si>
    <t>18/628</t>
  </si>
  <si>
    <t>18/629</t>
  </si>
  <si>
    <t>18/630</t>
  </si>
  <si>
    <t>18/631</t>
  </si>
  <si>
    <t>18/632</t>
  </si>
  <si>
    <t>18/633</t>
  </si>
  <si>
    <t>18/634</t>
  </si>
  <si>
    <t>18/635</t>
  </si>
  <si>
    <t>18/636</t>
  </si>
  <si>
    <t>18/637</t>
  </si>
  <si>
    <t>18/638</t>
  </si>
  <si>
    <t>18/639</t>
  </si>
  <si>
    <t>18/640</t>
  </si>
  <si>
    <t>18/641</t>
  </si>
  <si>
    <t>18/642</t>
  </si>
  <si>
    <t>18/643</t>
  </si>
  <si>
    <t>18/644</t>
  </si>
  <si>
    <t>18/645</t>
  </si>
  <si>
    <t>18/646</t>
  </si>
  <si>
    <t>18/647</t>
  </si>
  <si>
    <t>18/648</t>
  </si>
  <si>
    <t>18/649</t>
  </si>
  <si>
    <t>18/650</t>
  </si>
  <si>
    <t>18/651</t>
  </si>
  <si>
    <t>18/652</t>
  </si>
  <si>
    <t>18/653</t>
  </si>
  <si>
    <t>18/654</t>
  </si>
  <si>
    <t>18/655</t>
  </si>
  <si>
    <t>18/656</t>
  </si>
  <si>
    <t>18/657</t>
  </si>
  <si>
    <t>18/658</t>
  </si>
  <si>
    <t>18/659</t>
  </si>
  <si>
    <t>18/660</t>
  </si>
  <si>
    <t>18/661</t>
  </si>
  <si>
    <t>18/662</t>
  </si>
  <si>
    <t>18/663</t>
  </si>
  <si>
    <t>18/664</t>
  </si>
  <si>
    <t>18/665</t>
  </si>
  <si>
    <t>18/666</t>
  </si>
  <si>
    <t>18/667</t>
  </si>
  <si>
    <t>18/668</t>
  </si>
  <si>
    <t>18/669</t>
  </si>
  <si>
    <t>18/670</t>
  </si>
  <si>
    <t>18/671</t>
  </si>
  <si>
    <t>18/672</t>
  </si>
  <si>
    <t>18/673</t>
  </si>
  <si>
    <t>18/674</t>
  </si>
  <si>
    <t>18/675</t>
  </si>
  <si>
    <t>18/676</t>
  </si>
  <si>
    <t>18/677</t>
  </si>
  <si>
    <t>18/678</t>
  </si>
  <si>
    <t>18/679</t>
  </si>
  <si>
    <t>18/680</t>
  </si>
  <si>
    <t>18/681</t>
  </si>
  <si>
    <t>18/682</t>
  </si>
  <si>
    <t>18/683</t>
  </si>
  <si>
    <t>18/684</t>
  </si>
  <si>
    <t>18/685</t>
  </si>
  <si>
    <t>18/686</t>
  </si>
  <si>
    <t>18/687</t>
  </si>
  <si>
    <t>18/688</t>
  </si>
  <si>
    <t>18/689</t>
  </si>
  <si>
    <t>18/690</t>
  </si>
  <si>
    <t>18/691</t>
  </si>
  <si>
    <t>18/692</t>
  </si>
  <si>
    <t>18/693</t>
  </si>
  <si>
    <t>18/694</t>
  </si>
  <si>
    <t>18/695</t>
  </si>
  <si>
    <t>18/696</t>
  </si>
  <si>
    <t>18/697</t>
  </si>
  <si>
    <t>18/698</t>
  </si>
  <si>
    <t>18/699</t>
  </si>
  <si>
    <t>18/700</t>
  </si>
  <si>
    <t>18/701</t>
  </si>
  <si>
    <t>18/702</t>
  </si>
  <si>
    <t>18/703</t>
  </si>
  <si>
    <t>18/704</t>
  </si>
  <si>
    <t>18/705</t>
  </si>
  <si>
    <t>18/706</t>
  </si>
  <si>
    <t>18/707</t>
  </si>
  <si>
    <t>18/708</t>
  </si>
  <si>
    <t>18/709</t>
  </si>
  <si>
    <t>18/710</t>
  </si>
  <si>
    <t>18/711</t>
  </si>
  <si>
    <t>18/712</t>
  </si>
  <si>
    <t>18/713</t>
  </si>
  <si>
    <t>18/714</t>
  </si>
  <si>
    <t>18/715</t>
  </si>
  <si>
    <t>18/716</t>
  </si>
  <si>
    <t>18/717</t>
  </si>
  <si>
    <t>18/718</t>
  </si>
  <si>
    <t>18/719</t>
  </si>
  <si>
    <t>18/720</t>
  </si>
  <si>
    <t>18/721</t>
  </si>
  <si>
    <t>18/722</t>
  </si>
  <si>
    <t>18/723</t>
  </si>
  <si>
    <t>18/724</t>
  </si>
  <si>
    <t>18/725</t>
  </si>
  <si>
    <t>18/726</t>
  </si>
  <si>
    <t>18/727</t>
  </si>
  <si>
    <t>18/728</t>
  </si>
  <si>
    <t>18/729</t>
  </si>
  <si>
    <t>18/730</t>
  </si>
  <si>
    <t>Оснастка для круглой печати</t>
  </si>
  <si>
    <t>18/731</t>
  </si>
  <si>
    <t>18/732</t>
  </si>
  <si>
    <t>27/39</t>
  </si>
  <si>
    <t>Аренда земельного участка</t>
  </si>
  <si>
    <t>ОФИС</t>
  </si>
  <si>
    <t xml:space="preserve"> Расходы по озеленению территории ЦОД</t>
  </si>
  <si>
    <t>15/228</t>
  </si>
  <si>
    <t>Корзина</t>
  </si>
  <si>
    <t>Корзина (урна)  для мусора металлическая 12л</t>
  </si>
  <si>
    <t>15/229</t>
  </si>
  <si>
    <t>Вешалка деревянная</t>
  </si>
  <si>
    <t>Вешалка деревянная (плечики)</t>
  </si>
  <si>
    <t>15/230</t>
  </si>
  <si>
    <t>Холодильник однокамерный</t>
  </si>
  <si>
    <t>15/231</t>
  </si>
  <si>
    <t>Чайный сервиз</t>
  </si>
  <si>
    <t>Чайный сервиз на (6 персон)</t>
  </si>
  <si>
    <t>15/232</t>
  </si>
  <si>
    <t>Круг  отрезной   для  "Болгарки"</t>
  </si>
  <si>
    <t>15/233</t>
  </si>
  <si>
    <t xml:space="preserve">Обтирочный материал (Ветошь) </t>
  </si>
  <si>
    <t>м.</t>
  </si>
  <si>
    <t>15/234</t>
  </si>
  <si>
    <t>Вентиляторы на  «драйкуллеры»</t>
  </si>
  <si>
    <t>15/235</t>
  </si>
  <si>
    <t>Масло для насосов высокого давления.</t>
  </si>
  <si>
    <t>15/236</t>
  </si>
  <si>
    <t xml:space="preserve">Масло для смазки подшипников. </t>
  </si>
  <si>
    <t>15/237</t>
  </si>
  <si>
    <t>Компрессор спиральный.</t>
  </si>
  <si>
    <t>15/238</t>
  </si>
  <si>
    <t>Хладагент  R 407</t>
  </si>
  <si>
    <t>15/239</t>
  </si>
  <si>
    <t>Дренажный насос</t>
  </si>
  <si>
    <t>17/85</t>
  </si>
  <si>
    <t>Доска магнитно-маркерная,двусторонняя</t>
  </si>
  <si>
    <t>17/86</t>
  </si>
  <si>
    <t>Настольный набор для руководителя из натуральной кожи высшего качества</t>
  </si>
  <si>
    <t>17/87</t>
  </si>
  <si>
    <t>Настольный набор для руководителя на 7 предметов</t>
  </si>
  <si>
    <t>33/37</t>
  </si>
  <si>
    <t>33/38</t>
  </si>
  <si>
    <t>37/63</t>
  </si>
  <si>
    <t>Услуги по замеру сопротивления и испытанию кабеля 10кВ</t>
  </si>
  <si>
    <t>37/64</t>
  </si>
  <si>
    <t>Услуги по экспертизе Проектно-сметной документации сетей водоснабжения и канализации</t>
  </si>
  <si>
    <t>58/5</t>
  </si>
  <si>
    <t>Резервное каналообразующее оборудование</t>
  </si>
  <si>
    <t>4/5</t>
  </si>
  <si>
    <t>Сейф</t>
  </si>
  <si>
    <t>Огнестойкий сейф - обеспечивает сохранность документов и ценностей при пожаре,электронный и ключевой замки</t>
  </si>
  <si>
    <t>15/240</t>
  </si>
  <si>
    <t>Уничтожитель бумаги</t>
  </si>
  <si>
    <t>Услуги по устранению дефекта пола аппаратного зала, с учетом материалов</t>
  </si>
  <si>
    <t>Услуги по устранению дефекта пола аппаратного зала в г. Атырау, с учетом материалов</t>
  </si>
  <si>
    <t>37/65</t>
  </si>
  <si>
    <t>49/1</t>
  </si>
  <si>
    <t>Услуги по установке 1С: Предприятие 8.</t>
  </si>
  <si>
    <t>4/6</t>
  </si>
  <si>
    <t>Комод</t>
  </si>
  <si>
    <t>11/30</t>
  </si>
  <si>
    <t xml:space="preserve">Ультрабук </t>
  </si>
  <si>
    <t>11/31</t>
  </si>
  <si>
    <t xml:space="preserve">Планшет </t>
  </si>
  <si>
    <t>15/241</t>
  </si>
  <si>
    <t>15/242</t>
  </si>
  <si>
    <t xml:space="preserve">Центробежные вентиляторы на  кондиционеры «Stulz» </t>
  </si>
  <si>
    <t>15/243</t>
  </si>
  <si>
    <t xml:space="preserve">Центробежный вентилятор на  кондиционеры        «Stulz» с установкой </t>
  </si>
  <si>
    <t>37/66</t>
  </si>
  <si>
    <t>Услуги по обновлению системы управления на кондиционерах «Stulz» (перепрошивка контроллера)</t>
  </si>
  <si>
    <t>37/67</t>
  </si>
  <si>
    <t>Услуга по подключению автоматизации  системы орошения на драйкулерах  с заменой масла в насосах высокого давления</t>
  </si>
  <si>
    <t>15/244</t>
  </si>
  <si>
    <t xml:space="preserve">Наушники </t>
  </si>
  <si>
    <t>37/68</t>
  </si>
  <si>
    <t xml:space="preserve">Ежегодный партнерский взнос  Oracle  для продления статуса сертифицированного уровня «Золотой партнер» в партнерской сети компании Oracle </t>
  </si>
  <si>
    <t>Председатель Правления                                                                      А.  Дюсенев</t>
  </si>
  <si>
    <t>37/8/1</t>
  </si>
  <si>
    <t>37/8</t>
  </si>
  <si>
    <t>15/245</t>
  </si>
  <si>
    <t>Настенные часы</t>
  </si>
  <si>
    <t>37/69</t>
  </si>
  <si>
    <t>Услуги на проведение определения качества продукции</t>
  </si>
  <si>
    <t>15/246</t>
  </si>
  <si>
    <t>Воздуочиститель</t>
  </si>
  <si>
    <t>15/247</t>
  </si>
  <si>
    <t>Набор фильтров</t>
  </si>
  <si>
    <t>15/248</t>
  </si>
  <si>
    <t>Ковровая дорожка</t>
  </si>
  <si>
    <t>15/249</t>
  </si>
  <si>
    <t>Зеркало</t>
  </si>
  <si>
    <t>15/250</t>
  </si>
  <si>
    <t>Печать гербовая</t>
  </si>
  <si>
    <t>15/251</t>
  </si>
  <si>
    <t>Печать для счет- фактур</t>
  </si>
  <si>
    <t>37/70</t>
  </si>
  <si>
    <t>Техподдержка и развитие программного продукта "Системы управления контакт-центром и клиентами"</t>
  </si>
  <si>
    <t>37/71</t>
  </si>
  <si>
    <t>Услуги по проверке на уязвимости и проведению тестов на проникновение</t>
  </si>
  <si>
    <t>услуг по проверке на уязвимости и проведению тестов на проникновение</t>
  </si>
  <si>
    <t>16/15/1</t>
  </si>
  <si>
    <t>Прожектор освещения светодиодный уличный 20 Ватт</t>
  </si>
  <si>
    <t>37/7/6</t>
  </si>
  <si>
    <t>Услуги на проведение государственного технического обследования
зданий, сооружений и (или) их составляющих</t>
  </si>
  <si>
    <t>8/93/1</t>
  </si>
  <si>
    <t>8/93/2</t>
  </si>
  <si>
    <t>8/93/3</t>
  </si>
  <si>
    <t>8/77/1</t>
  </si>
  <si>
    <t>8/77/2</t>
  </si>
  <si>
    <t>8/77/3</t>
  </si>
  <si>
    <t>8/77/4</t>
  </si>
  <si>
    <t>37/5/1</t>
  </si>
  <si>
    <t>Услуги по обеспечению безопасной передачи информации по защищенному каналу</t>
  </si>
  <si>
    <t>Услуги на проведение государственного технического обследования зданий, сооружений и (или) их составляющих</t>
  </si>
  <si>
    <t>Проект "Создание серверной интернет-платформы для оказания услуг хостинга государственным органам (ЦОД)"</t>
  </si>
  <si>
    <t>2/16</t>
  </si>
  <si>
    <t>Телевизор</t>
  </si>
  <si>
    <t>Тип дисплея LED
Размер экрана, дюймы 55
Разрешение экрана 3840 x 2160 (Ultra HD)</t>
  </si>
  <si>
    <t>4/7</t>
  </si>
  <si>
    <t>Кресло руководителя</t>
  </si>
  <si>
    <t>Высота кресла –  не менее 1270 мм., Ширина – не менее 620 мм., Глубина – не менее 570 мм.</t>
  </si>
  <si>
    <t>15/252</t>
  </si>
  <si>
    <t xml:space="preserve">Частота видеопроцессора (GPU): 1241 МГц (базовая) - 1304 МГц (разогнанная) </t>
  </si>
  <si>
    <t>15/253</t>
  </si>
  <si>
    <t>Набор инструмента слесарный</t>
  </si>
  <si>
    <t>15/254</t>
  </si>
  <si>
    <t>Набор инструмента для электроники</t>
  </si>
  <si>
    <t>15/255</t>
  </si>
  <si>
    <t>Набор диэлектрических инструментов до 1000В</t>
  </si>
  <si>
    <t>15/256</t>
  </si>
  <si>
    <t>Пресс ручной гидравлический</t>
  </si>
  <si>
    <t>15/257</t>
  </si>
  <si>
    <t>Съемник гидравлический</t>
  </si>
  <si>
    <t>15/258</t>
  </si>
  <si>
    <t>Пресс гидравлический</t>
  </si>
  <si>
    <t>15/259</t>
  </si>
  <si>
    <t>Тисы слесарные</t>
  </si>
  <si>
    <t>15/260</t>
  </si>
  <si>
    <t>Паяльник для пластиковых труб</t>
  </si>
  <si>
    <t>15/261</t>
  </si>
  <si>
    <t>Фен строительный</t>
  </si>
  <si>
    <t>15/262</t>
  </si>
  <si>
    <t>Раскладная лестница</t>
  </si>
  <si>
    <t>15/263</t>
  </si>
  <si>
    <t>15/264</t>
  </si>
  <si>
    <t>15/265</t>
  </si>
  <si>
    <t>Алмазный диск для "Болгарки"</t>
  </si>
  <si>
    <t>15/266</t>
  </si>
  <si>
    <t>Тестер аккумуляторных батарей</t>
  </si>
  <si>
    <t>15/267</t>
  </si>
  <si>
    <t>Цифровой мультиметр</t>
  </si>
  <si>
    <t>15/268</t>
  </si>
  <si>
    <t>Клещи токовые</t>
  </si>
  <si>
    <t>15/269</t>
  </si>
  <si>
    <t>Измеритель сопротивления заземления</t>
  </si>
  <si>
    <t>15/270</t>
  </si>
  <si>
    <t>Измеритель петли короткого замыкания</t>
  </si>
  <si>
    <t>15/271</t>
  </si>
  <si>
    <t>Цифровой тестер вибрации</t>
  </si>
  <si>
    <t>15/272</t>
  </si>
  <si>
    <t>Цифровой анемометр</t>
  </si>
  <si>
    <t>15/273</t>
  </si>
  <si>
    <t>Детектор проводки в стенах</t>
  </si>
  <si>
    <t>15/274</t>
  </si>
  <si>
    <t>Течеискатель</t>
  </si>
  <si>
    <t>15/275</t>
  </si>
  <si>
    <t>Фильтр осушитель</t>
  </si>
  <si>
    <t>15/276</t>
  </si>
  <si>
    <t>Съемник клапанов Шредера</t>
  </si>
  <si>
    <t>15/277</t>
  </si>
  <si>
    <t>Клапан Шредера</t>
  </si>
  <si>
    <t>15/278</t>
  </si>
  <si>
    <t>Тест на кислотность масла</t>
  </si>
  <si>
    <t>комп.</t>
  </si>
  <si>
    <t>15/279</t>
  </si>
  <si>
    <t>Набор уплотнительных колец</t>
  </si>
  <si>
    <t>15/280</t>
  </si>
  <si>
    <t>Торцевые уплотнители вала</t>
  </si>
  <si>
    <t>15/281</t>
  </si>
  <si>
    <t>Датчик давления</t>
  </si>
  <si>
    <t>15/282</t>
  </si>
  <si>
    <t>Парогенератор</t>
  </si>
  <si>
    <t>15/283</t>
  </si>
  <si>
    <t>Форсунка туманообразования</t>
  </si>
  <si>
    <t>15/284</t>
  </si>
  <si>
    <t>Фитинг для одной форсунки</t>
  </si>
  <si>
    <t>15/285</t>
  </si>
  <si>
    <t>Т-образный фитинг</t>
  </si>
  <si>
    <t>15/286</t>
  </si>
  <si>
    <t>Переходник "Папа"</t>
  </si>
  <si>
    <t>15/287</t>
  </si>
  <si>
    <t>Концевой Фитинг для форсунки</t>
  </si>
  <si>
    <t>15/288</t>
  </si>
  <si>
    <t>Запасное стопорное кольцо для монтажа шаровых кранов</t>
  </si>
  <si>
    <t>15/289</t>
  </si>
  <si>
    <t>Запасное стопорное кольцо для латунных и стальных фитингов</t>
  </si>
  <si>
    <t>15/290</t>
  </si>
  <si>
    <t>Труба высокого давления</t>
  </si>
  <si>
    <t>15/291</t>
  </si>
  <si>
    <t>Шаровый кран</t>
  </si>
  <si>
    <t>15/292</t>
  </si>
  <si>
    <t>Заглушка форсунок</t>
  </si>
  <si>
    <t>15/293</t>
  </si>
  <si>
    <t>Весы для хладогена</t>
  </si>
  <si>
    <t>15/294</t>
  </si>
  <si>
    <t>Прокладка кольцевая</t>
  </si>
  <si>
    <t>15/295</t>
  </si>
  <si>
    <t>16/20</t>
  </si>
  <si>
    <t xml:space="preserve">Металлическая дверь </t>
  </si>
  <si>
    <t>26/7</t>
  </si>
  <si>
    <t>Аренда зала мажилиса</t>
  </si>
  <si>
    <t>37/7/7</t>
  </si>
  <si>
    <t>Услуги по изготовлению техпаспорта для КТП и кабельной линии</t>
  </si>
  <si>
    <t>37/7/8</t>
  </si>
  <si>
    <t>Услуги по проведению гос. тех. обследования здания, сооружений и их составляющих</t>
  </si>
  <si>
    <t>37/7/9</t>
  </si>
  <si>
    <t>Изготовление эскизного проекта перепланировки  второго этажа здания ЗК ОЦИТ</t>
  </si>
  <si>
    <t>ЗКОЦИТ</t>
  </si>
  <si>
    <t>37/7/10</t>
  </si>
  <si>
    <t>Изготовление эскизного проекта облагораживания парковки и тротуара на прилегающей территории здания  ЗК ОЦИТ</t>
  </si>
  <si>
    <t>3-4 квартал 2016 года</t>
  </si>
  <si>
    <t>36/45</t>
  </si>
  <si>
    <t>Сопровождение ППО ПЭП, ШЭП и РШЭП (2)</t>
  </si>
  <si>
    <t>36/46</t>
  </si>
  <si>
    <t>Сопровождение информационной системы «Государственная база данных «Е-лицензирование» в части работ: «Модификация ИС ГБД ЕЛ»</t>
  </si>
  <si>
    <t>37/5/2</t>
  </si>
  <si>
    <t>Услуги по рассылке ежедневных приглашений на участие в конкурсах</t>
  </si>
  <si>
    <t>36/47</t>
  </si>
  <si>
    <t>Услуги по сопровождению информационной системы «Интегрированная информационная система центров обслуживания населения» в части работ: «Модификация ИС ИИС ЦОН»</t>
  </si>
  <si>
    <t>15/296</t>
  </si>
  <si>
    <t>Сплиттер</t>
  </si>
  <si>
    <t>ИО</t>
  </si>
  <si>
    <t>8- ми портовый сплиттер</t>
  </si>
  <si>
    <t>37/72</t>
  </si>
  <si>
    <t xml:space="preserve">Аттестационное обследование информационных систем на соответствие их требованиям информационной безопасности </t>
  </si>
  <si>
    <t xml:space="preserve">Корпус из литого алюминия. Рассеиватель из коленного стекла. Оснащен драйвером и светодиодами типа COB. Мощность: 20Вт. </t>
  </si>
  <si>
    <t>37/7/11</t>
  </si>
  <si>
    <t>Услуги по переосвидетельствованию огнетушителей</t>
  </si>
  <si>
    <t>36/48</t>
  </si>
  <si>
    <t>Услуги по передачи данных по сетям</t>
  </si>
  <si>
    <t>Алматы</t>
  </si>
  <si>
    <t>3/52</t>
  </si>
  <si>
    <t>Моноблок</t>
  </si>
  <si>
    <t>Процессоры:  Intel, Celeron; Тактовая частота, ГГц: не менее 2.4</t>
  </si>
  <si>
    <t>3/53</t>
  </si>
  <si>
    <t>3/54</t>
  </si>
  <si>
    <t>3/55</t>
  </si>
  <si>
    <t>36/49</t>
  </si>
  <si>
    <t>Услуги по передаче данных</t>
  </si>
  <si>
    <t>Услуги по передаче данных (КГУ "Бригада территориальной обороны г. Астаны"</t>
  </si>
  <si>
    <t>37/74</t>
  </si>
  <si>
    <t>Услуги независимой оценки автомобилей</t>
  </si>
  <si>
    <t>15/297</t>
  </si>
  <si>
    <t>Обогреватель</t>
  </si>
  <si>
    <t>37/73</t>
  </si>
  <si>
    <t>Сопровождение ЕИС Техосмотр</t>
  </si>
  <si>
    <t>39/1</t>
  </si>
  <si>
    <t>Услуга по организации мероприятия и проведению совещания по итогам деятельности АО "НИТ" за 9 месяцев 2016 года</t>
  </si>
  <si>
    <t>39/2</t>
  </si>
  <si>
    <t>Услуга по организации развлекательной программы</t>
  </si>
  <si>
    <t>Услуга по организации развлекательной программы (АО "НИТ" за 9 месяцев 2016 года)</t>
  </si>
  <si>
    <t>2/17</t>
  </si>
  <si>
    <t xml:space="preserve">Ноутбук </t>
  </si>
  <si>
    <t>Ноутбук (Аутсорсинг Зерде)</t>
  </si>
  <si>
    <t>2/18</t>
  </si>
  <si>
    <t xml:space="preserve">Сканер поточный </t>
  </si>
  <si>
    <t>Сканер поточный  (Аутсорсинг Зерде)</t>
  </si>
  <si>
    <t>2/19</t>
  </si>
  <si>
    <t xml:space="preserve">МФУ  </t>
  </si>
  <si>
    <t>МФУ   (Аутсорсинг Зерде)</t>
  </si>
  <si>
    <t>2/20</t>
  </si>
  <si>
    <t xml:space="preserve"> IP телефон </t>
  </si>
  <si>
    <t xml:space="preserve"> IP телефон  (Аутсорсинг Зерде)</t>
  </si>
  <si>
    <t>2/21</t>
  </si>
  <si>
    <t>IP конференц-телефон</t>
  </si>
  <si>
    <t>IP конференц-телефон (Аутсорсинг Зерде)</t>
  </si>
  <si>
    <t>2/22</t>
  </si>
  <si>
    <t>Роутер wi-fi</t>
  </si>
  <si>
    <t>Роутер wi-fi (Аутсорсинг Зерде)</t>
  </si>
  <si>
    <t>2/23</t>
  </si>
  <si>
    <t xml:space="preserve">Сетевой коммутатор </t>
  </si>
  <si>
    <t>Сетевой коммутатор (Аутсорсинг Зерде)</t>
  </si>
  <si>
    <t>2/24</t>
  </si>
  <si>
    <t xml:space="preserve">Маршрутизатор </t>
  </si>
  <si>
    <t>Маршрутизатор (Аутсорсинг Зерде)</t>
  </si>
  <si>
    <t>2/25</t>
  </si>
  <si>
    <t xml:space="preserve">Копировальный аппарат </t>
  </si>
  <si>
    <t>Копировальный аппарат (Аутсорсинг Зерде)</t>
  </si>
  <si>
    <t>2/26</t>
  </si>
  <si>
    <t>Монитор (Аутсорсинг Зерде)</t>
  </si>
  <si>
    <t>15/298</t>
  </si>
  <si>
    <t>Штамп</t>
  </si>
  <si>
    <t>36/50</t>
  </si>
  <si>
    <t>Услуги по передаче данных (ГУ "Аппарат акима ЗКО")</t>
  </si>
  <si>
    <t>36/51</t>
  </si>
  <si>
    <t>Услуги по передаче данных (АО "Астана Innovations")</t>
  </si>
  <si>
    <t>36/52</t>
  </si>
  <si>
    <t>37/75</t>
  </si>
  <si>
    <t>Услуги по замене ковролина</t>
  </si>
  <si>
    <t>Приложение к приказу АО "Национальные информационные технологии" от "26" октября 2016 года № 394-п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</si>
</sst>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_);\(#,##0.0\)"/>
    <numFmt numFmtId="167" formatCode="&quot;$&quot;#,##0.0_);[Red]\(&quot;$&quot;#,##0.0\)"/>
    <numFmt numFmtId="168" formatCode="#\ ##0_.\ &quot;zі&quot;\ 00\ &quot;gr&quot;;\(#\ ##0.00\z\і\)"/>
    <numFmt numFmtId="169" formatCode="#\ ##0&quot;zі&quot;00&quot;gr&quot;;\(#\ ##0.00\z\і\)"/>
    <numFmt numFmtId="170" formatCode="_-&quot;$&quot;* #,##0.00_-;\-&quot;$&quot;* #,##0.00_-;_-&quot;$&quot;* &quot;-&quot;??_-;_-@_-"/>
    <numFmt numFmtId="171" formatCode="0.0%;\(0.0%\)"/>
    <numFmt numFmtId="172" formatCode="\60\4\7\:"/>
    <numFmt numFmtId="173" formatCode="&quot;$&quot;#,##0_);[Red]\(&quot;$&quot;#,##0\)"/>
    <numFmt numFmtId="174" formatCode="&quot;$&quot;#,\);\(&quot;$&quot;#,##0\)"/>
    <numFmt numFmtId="175" formatCode="[$-409]d\-mmm\-yy;@"/>
    <numFmt numFmtId="176" formatCode="[$-409]d\-mmm;@"/>
    <numFmt numFmtId="177" formatCode="_(#,##0;\(#,##0\);\-;&quot;  &quot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&quot;$&quot;#,\);\(&quot;$&quot;#,\)"/>
    <numFmt numFmtId="183" formatCode="\+0.0;\-0.0"/>
    <numFmt numFmtId="184" formatCode="\+0.0%;\-0.0%"/>
    <numFmt numFmtId="185" formatCode="&quot;$&quot;#,##0"/>
    <numFmt numFmtId="186" formatCode="#\ ##0&quot;zі&quot;_.00&quot;gr&quot;;\(#\ ##0.00\z\і\)"/>
    <numFmt numFmtId="187" formatCode="#\ ##0&quot;zі&quot;.00&quot;gr&quot;;\(#\ ##0&quot;zі&quot;.00&quot;gr&quot;\)"/>
    <numFmt numFmtId="188" formatCode="General_)"/>
    <numFmt numFmtId="189" formatCode="0.0"/>
    <numFmt numFmtId="190" formatCode="#."/>
    <numFmt numFmtId="191" formatCode="#.00"/>
    <numFmt numFmtId="192" formatCode="&quot;$&quot;#.00"/>
    <numFmt numFmtId="193" formatCode="_-* #,##0.00[$€-1]_-;\-* #,##0.00[$€-1]_-;_-* &quot;-&quot;??[$€-1]_-"/>
    <numFmt numFmtId="194" formatCode="#,##0_);[Blue]\(\-\)\ #,##0_)"/>
    <numFmt numFmtId="195" formatCode="%#.00"/>
  </numFmts>
  <fonts count="45"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sz val="10"/>
      <name val="NTHarmonica"/>
    </font>
    <font>
      <u/>
      <sz val="10"/>
      <color theme="1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4"/>
      <name val="Times New Roman"/>
      <family val="1"/>
      <charset val="204"/>
    </font>
    <font>
      <sz val="11"/>
      <color indexed="8"/>
      <name val="Calibri"/>
      <family val="2"/>
    </font>
    <font>
      <u/>
      <sz val="6"/>
      <color theme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65">
    <xf numFmtId="0" fontId="0" fillId="0" borderId="0"/>
    <xf numFmtId="0" fontId="2" fillId="0" borderId="0"/>
    <xf numFmtId="0" fontId="1" fillId="0" borderId="0"/>
    <xf numFmtId="0" fontId="2" fillId="0" borderId="0"/>
    <xf numFmtId="0" fontId="18" fillId="0" borderId="0"/>
    <xf numFmtId="190" fontId="20" fillId="0" borderId="6">
      <protection locked="0"/>
    </xf>
    <xf numFmtId="190" fontId="20" fillId="0" borderId="6">
      <protection locked="0"/>
    </xf>
    <xf numFmtId="0" fontId="11" fillId="0" borderId="0"/>
    <xf numFmtId="0" fontId="19" fillId="0" borderId="0"/>
    <xf numFmtId="0" fontId="19" fillId="0" borderId="0"/>
    <xf numFmtId="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2" fontId="20" fillId="0" borderId="0">
      <protection locked="0"/>
    </xf>
    <xf numFmtId="190" fontId="20" fillId="0" borderId="6">
      <protection locked="0"/>
    </xf>
    <xf numFmtId="0" fontId="20" fillId="0" borderId="6">
      <protection locked="0"/>
    </xf>
    <xf numFmtId="190" fontId="20" fillId="0" borderId="6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6">
      <protection locked="0"/>
    </xf>
    <xf numFmtId="0" fontId="17" fillId="0" borderId="0"/>
    <xf numFmtId="0" fontId="22" fillId="0" borderId="0" applyFill="0" applyBorder="0" applyAlignment="0"/>
    <xf numFmtId="166" fontId="1" fillId="0" borderId="0" applyFill="0" applyBorder="0" applyAlignment="0"/>
    <xf numFmtId="167" fontId="17" fillId="0" borderId="0" applyFill="0" applyBorder="0" applyAlignment="0"/>
    <xf numFmtId="168" fontId="23" fillId="0" borderId="0" applyFill="0" applyBorder="0" applyAlignment="0"/>
    <xf numFmtId="169" fontId="23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7" fillId="2" borderId="0" applyFont="0" applyFill="0" applyBorder="0" applyAlignment="0" applyProtection="0"/>
    <xf numFmtId="14" fontId="22" fillId="0" borderId="0" applyFill="0" applyBorder="0" applyAlignment="0"/>
    <xf numFmtId="176" fontId="17" fillId="2" borderId="0" applyFont="0" applyFill="0" applyBorder="0" applyAlignment="0" applyProtection="0"/>
    <xf numFmtId="0" fontId="17" fillId="2" borderId="0" applyFont="0" applyFill="0" applyBorder="0" applyAlignment="0" applyProtection="0"/>
    <xf numFmtId="38" fontId="25" fillId="0" borderId="7">
      <alignment vertical="center"/>
    </xf>
    <xf numFmtId="0" fontId="27" fillId="0" borderId="0" applyNumberFormat="0" applyFill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93" fontId="2" fillId="0" borderId="0" applyFont="0" applyFill="0" applyBorder="0" applyAlignment="0" applyProtection="0"/>
    <xf numFmtId="10" fontId="28" fillId="3" borderId="1" applyNumberFormat="0" applyFill="0" applyBorder="0" applyAlignment="0" applyProtection="0">
      <protection locked="0"/>
    </xf>
    <xf numFmtId="38" fontId="16" fillId="4" borderId="0" applyNumberFormat="0" applyBorder="0" applyAlignment="0" applyProtection="0"/>
    <xf numFmtId="0" fontId="29" fillId="0" borderId="8" applyNumberFormat="0" applyAlignment="0" applyProtection="0">
      <alignment horizontal="left" vertical="center"/>
    </xf>
    <xf numFmtId="0" fontId="29" fillId="0" borderId="5">
      <alignment horizontal="left" vertical="center"/>
    </xf>
    <xf numFmtId="14" fontId="13" fillId="5" borderId="9">
      <alignment horizontal="center"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177" fontId="17" fillId="6" borderId="1" applyNumberFormat="0" applyFont="0" applyAlignment="0">
      <protection locked="0"/>
    </xf>
    <xf numFmtId="10" fontId="16" fillId="7" borderId="1" applyNumberFormat="0" applyBorder="0" applyAlignment="0" applyProtection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17" fillId="0" borderId="0"/>
    <xf numFmtId="0" fontId="17" fillId="0" borderId="0"/>
    <xf numFmtId="0" fontId="31" fillId="0" borderId="0"/>
    <xf numFmtId="0" fontId="1" fillId="0" borderId="0"/>
    <xf numFmtId="179" fontId="17" fillId="2" borderId="0"/>
    <xf numFmtId="0" fontId="32" fillId="2" borderId="0"/>
    <xf numFmtId="180" fontId="17" fillId="0" borderId="0" applyFont="0" applyFill="0" applyBorder="0" applyAlignment="0" applyProtection="0"/>
    <xf numFmtId="169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0" fontId="17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" fillId="0" borderId="0"/>
    <xf numFmtId="184" fontId="1" fillId="0" borderId="0"/>
    <xf numFmtId="17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66" fontId="1" fillId="0" borderId="0" applyFill="0" applyBorder="0" applyAlignment="0"/>
    <xf numFmtId="0" fontId="33" fillId="0" borderId="0" applyNumberFormat="0">
      <alignment horizontal="left"/>
    </xf>
    <xf numFmtId="3" fontId="11" fillId="0" borderId="0" applyFont="0" applyFill="0" applyBorder="0" applyAlignment="0"/>
    <xf numFmtId="185" fontId="34" fillId="0" borderId="1">
      <alignment horizontal="left" vertical="center"/>
      <protection locked="0"/>
    </xf>
    <xf numFmtId="49" fontId="22" fillId="0" borderId="0" applyFill="0" applyBorder="0" applyAlignment="0"/>
    <xf numFmtId="186" fontId="23" fillId="0" borderId="0" applyFill="0" applyBorder="0" applyAlignment="0"/>
    <xf numFmtId="187" fontId="23" fillId="0" borderId="0" applyFill="0" applyBorder="0" applyAlignment="0"/>
    <xf numFmtId="0" fontId="14" fillId="0" borderId="0" applyFill="0" applyBorder="0" applyProtection="0">
      <alignment horizontal="left" vertical="top"/>
    </xf>
    <xf numFmtId="188" fontId="11" fillId="0" borderId="10">
      <protection locked="0"/>
    </xf>
    <xf numFmtId="194" fontId="4" fillId="0" borderId="1" applyBorder="0">
      <protection hidden="1"/>
    </xf>
    <xf numFmtId="0" fontId="36" fillId="0" borderId="0" applyNumberFormat="0" applyFill="0" applyBorder="0" applyAlignment="0" applyProtection="0"/>
    <xf numFmtId="0" fontId="10" fillId="4" borderId="11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4" fontId="11" fillId="0" borderId="0">
      <alignment horizontal="right"/>
    </xf>
    <xf numFmtId="188" fontId="15" fillId="5" borderId="1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90" fontId="21" fillId="0" borderId="0">
      <protection locked="0"/>
    </xf>
    <xf numFmtId="190" fontId="21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164" fontId="20" fillId="0" borderId="0">
      <protection locked="0"/>
    </xf>
    <xf numFmtId="195" fontId="20" fillId="0" borderId="0">
      <protection locked="0"/>
    </xf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178" fontId="17" fillId="0" borderId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0" fontId="17" fillId="0" borderId="1">
      <alignment horizontal="right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17" fillId="0" borderId="1"/>
    <xf numFmtId="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190" fontId="20" fillId="0" borderId="6">
      <protection locked="0"/>
    </xf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0" fillId="0" borderId="0">
      <protection locked="0"/>
    </xf>
    <xf numFmtId="0" fontId="20" fillId="0" borderId="6">
      <protection locked="0"/>
    </xf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195" fontId="20" fillId="0" borderId="0"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90" fontId="20" fillId="0" borderId="6">
      <protection locked="0"/>
    </xf>
    <xf numFmtId="192" fontId="20" fillId="0" borderId="0">
      <protection locked="0"/>
    </xf>
    <xf numFmtId="164" fontId="20" fillId="0" borderId="0">
      <protection locked="0"/>
    </xf>
    <xf numFmtId="191" fontId="20" fillId="0" borderId="0">
      <protection locked="0"/>
    </xf>
    <xf numFmtId="164" fontId="20" fillId="0" borderId="0">
      <protection locked="0"/>
    </xf>
    <xf numFmtId="4" fontId="20" fillId="0" borderId="0">
      <protection locked="0"/>
    </xf>
    <xf numFmtId="191" fontId="20" fillId="0" borderId="0">
      <protection locked="0"/>
    </xf>
    <xf numFmtId="4" fontId="20" fillId="0" borderId="0">
      <protection locked="0"/>
    </xf>
    <xf numFmtId="190" fontId="21" fillId="0" borderId="0">
      <protection locked="0"/>
    </xf>
    <xf numFmtId="190" fontId="21" fillId="0" borderId="0">
      <protection locked="0"/>
    </xf>
    <xf numFmtId="190" fontId="20" fillId="0" borderId="6">
      <protection locked="0"/>
    </xf>
  </cellStyleXfs>
  <cellXfs count="71">
    <xf numFmtId="0" fontId="0" fillId="0" borderId="0" xfId="0"/>
    <xf numFmtId="0" fontId="5" fillId="0" borderId="1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Border="1"/>
    <xf numFmtId="4" fontId="7" fillId="0" borderId="1" xfId="15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7" fillId="0" borderId="1" xfId="1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3" fontId="7" fillId="0" borderId="1" xfId="157" applyNumberFormat="1" applyFont="1" applyFill="1" applyBorder="1" applyAlignment="1">
      <alignment horizontal="center" vertical="center" wrapText="1"/>
    </xf>
    <xf numFmtId="0" fontId="7" fillId="0" borderId="1" xfId="157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157" applyNumberFormat="1" applyFont="1" applyFill="1" applyBorder="1" applyAlignment="1">
      <alignment horizontal="center" vertical="center" wrapText="1"/>
    </xf>
  </cellXfs>
  <cellStyles count="665">
    <cellStyle name="_x000d__x000a_JournalTemplate=C:\COMFO\CTALK\JOURSTD.TPL_x000d__x000a_LbStateAddress=3 3 0 251 1 89 2 311_x000d__x000a_LbStateJou" xfId="4"/>
    <cellStyle name="?’???‚›?" xfId="664"/>
    <cellStyle name="?’һғһ‚›ү" xfId="6"/>
    <cellStyle name="?’ћѓћ‚›‰" xfId="5"/>
    <cellStyle name="?ђ??‹?‚?љ1" xfId="663"/>
    <cellStyle name="?ђ??‹?‚?љ2" xfId="662"/>
    <cellStyle name="_PRICE_1C" xfId="7"/>
    <cellStyle name="_ОТЧЕТ для ДКФ    06 04 05  (6)" xfId="8"/>
    <cellStyle name="_План развития ПТС на 2005-2010 (связи станционной части)" xfId="9"/>
    <cellStyle name="”??ђ?‘?‚›?" xfId="661"/>
    <cellStyle name="”?ќђќ‘ћ‚›‰" xfId="10"/>
    <cellStyle name="”?қђқ‘һ‚›ү" xfId="11"/>
    <cellStyle name="”?љ‘?ђ?‚ђ??›?" xfId="660"/>
    <cellStyle name="”?љ‘?ђһ‚ђққ›ү" xfId="13"/>
    <cellStyle name="”?љ‘?ђћ‚ђќќ›‰" xfId="12"/>
    <cellStyle name="”€?ђ?‘?‚›?" xfId="659"/>
    <cellStyle name="”€ќђќ‘ћ‚›‰" xfId="14"/>
    <cellStyle name="”€ќђќ‘ћ‚›‰ 2" xfId="15"/>
    <cellStyle name="”€ќђќ‘ћ‚›‰ 3" xfId="506"/>
    <cellStyle name="”€ќђќ‘ћ‚›‰_ПЗ" xfId="658"/>
    <cellStyle name="”€қђқ‘һ‚›ү" xfId="16"/>
    <cellStyle name="”€љ‘€ђ?‚ђ??›?" xfId="657"/>
    <cellStyle name="”€љ‘€ђһ‚ђққ›ү" xfId="19"/>
    <cellStyle name="”€љ‘€ђћ‚ђќќ›‰" xfId="17"/>
    <cellStyle name="”€љ‘€ђћ‚ђќќ›‰ 2" xfId="18"/>
    <cellStyle name="”€љ‘€ђћ‚ђќќ›‰ 3" xfId="507"/>
    <cellStyle name="”€љ‘€ђћ‚ђќќ›‰_ПЗ" xfId="656"/>
    <cellStyle name="”ќђќ‘ћ‚›‰" xfId="20"/>
    <cellStyle name="”ќђќ‘ћ‚›‰ 2" xfId="508"/>
    <cellStyle name="”љ‘ђћ‚ђќќ›‰" xfId="21"/>
    <cellStyle name="”љ‘ђћ‚ђќќ›‰ 2" xfId="509"/>
    <cellStyle name="„…?…†?›?" xfId="655"/>
    <cellStyle name="„…ќ…†ќ›‰" xfId="22"/>
    <cellStyle name="„…ќ…†ќ›‰ 2" xfId="510"/>
    <cellStyle name="„…қ…†қ›ү" xfId="23"/>
    <cellStyle name="€’???‚›?" xfId="654"/>
    <cellStyle name="€’һғһ‚›ү" xfId="26"/>
    <cellStyle name="€’ћѓћ‚›‰" xfId="24"/>
    <cellStyle name="€’ћѓћ‚›‰ 2" xfId="25"/>
    <cellStyle name="€’ћѓћ‚›‰ 3" xfId="511"/>
    <cellStyle name="€’ћѓћ‚›‰_ПЗ" xfId="640"/>
    <cellStyle name="‡ђѓћ‹ћ‚ћљ1" xfId="27"/>
    <cellStyle name="‡ђѓћ‹ћ‚ћљ2" xfId="28"/>
    <cellStyle name="’ћѓћ‚›‰" xfId="29"/>
    <cellStyle name="0,0_x000d__x000a_NA_x000d__x000a_" xfId="30"/>
    <cellStyle name="Calc Currency (0)" xfId="31"/>
    <cellStyle name="Calc Currency (2)" xfId="32"/>
    <cellStyle name="Calc Percent (0)" xfId="33"/>
    <cellStyle name="Calc Percent (1)" xfId="34"/>
    <cellStyle name="Calc Percent (2)" xfId="35"/>
    <cellStyle name="Calc Units (0)" xfId="36"/>
    <cellStyle name="Calc Units (1)" xfId="37"/>
    <cellStyle name="Calc Units (2)" xfId="38"/>
    <cellStyle name="Comma [0]_#6 Temps &amp; Contractors" xfId="39"/>
    <cellStyle name="Comma [00]" xfId="40"/>
    <cellStyle name="Comma 2 3" xfId="512"/>
    <cellStyle name="Comma 2 3 2" xfId="513"/>
    <cellStyle name="Comma 2 3 2 2" xfId="514"/>
    <cellStyle name="Comma_#6 Temps &amp; Contractors" xfId="41"/>
    <cellStyle name="Currency [0]" xfId="42"/>
    <cellStyle name="Currency [00]" xfId="43"/>
    <cellStyle name="Currency_#6 Temps &amp; Contractors" xfId="44"/>
    <cellStyle name="Date" xfId="45"/>
    <cellStyle name="Date Short" xfId="46"/>
    <cellStyle name="Date without year" xfId="47"/>
    <cellStyle name="Date_комм.расходы ПП-прил.5.17" xfId="48"/>
    <cellStyle name="DELTA" xfId="49"/>
    <cellStyle name="E&amp;Y House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uro" xfId="56"/>
    <cellStyle name="From" xfId="57"/>
    <cellStyle name="Grey" xfId="58"/>
    <cellStyle name="Header1" xfId="59"/>
    <cellStyle name="Header2" xfId="60"/>
    <cellStyle name="Heading" xfId="61"/>
    <cellStyle name="Hyperlink_RESULTS" xfId="62"/>
    <cellStyle name="Input" xfId="63"/>
    <cellStyle name="Input [yellow]" xfId="64"/>
    <cellStyle name="Link Currency (0)" xfId="65"/>
    <cellStyle name="Link Currency (2)" xfId="66"/>
    <cellStyle name="Link Units (0)" xfId="67"/>
    <cellStyle name="Link Units (1)" xfId="68"/>
    <cellStyle name="Link Units (2)" xfId="69"/>
    <cellStyle name="Normal - Style1" xfId="70"/>
    <cellStyle name="Normal - Style1 10" xfId="231"/>
    <cellStyle name="Normal - Style1 11" xfId="232"/>
    <cellStyle name="Normal - Style1 12" xfId="233"/>
    <cellStyle name="Normal - Style1 13" xfId="234"/>
    <cellStyle name="Normal - Style1 14" xfId="235"/>
    <cellStyle name="Normal - Style1 15" xfId="236"/>
    <cellStyle name="Normal - Style1 16" xfId="237"/>
    <cellStyle name="Normal - Style1 17" xfId="238"/>
    <cellStyle name="Normal - Style1 18" xfId="239"/>
    <cellStyle name="Normal - Style1 19" xfId="240"/>
    <cellStyle name="Normal - Style1 2" xfId="71"/>
    <cellStyle name="Normal - Style1 20" xfId="241"/>
    <cellStyle name="Normal - Style1 21" xfId="242"/>
    <cellStyle name="Normal - Style1 22" xfId="243"/>
    <cellStyle name="Normal - Style1 23" xfId="244"/>
    <cellStyle name="Normal - Style1 24" xfId="245"/>
    <cellStyle name="Normal - Style1 25" xfId="246"/>
    <cellStyle name="Normal - Style1 26" xfId="247"/>
    <cellStyle name="Normal - Style1 27" xfId="248"/>
    <cellStyle name="Normal - Style1 28" xfId="249"/>
    <cellStyle name="Normal - Style1 29" xfId="250"/>
    <cellStyle name="Normal - Style1 3" xfId="72"/>
    <cellStyle name="Normal - Style1 30" xfId="251"/>
    <cellStyle name="Normal - Style1 31" xfId="252"/>
    <cellStyle name="Normal - Style1 32" xfId="253"/>
    <cellStyle name="Normal - Style1 33" xfId="254"/>
    <cellStyle name="Normal - Style1 34" xfId="255"/>
    <cellStyle name="Normal - Style1 35" xfId="256"/>
    <cellStyle name="Normal - Style1 36" xfId="257"/>
    <cellStyle name="Normal - Style1 37" xfId="258"/>
    <cellStyle name="Normal - Style1 38" xfId="259"/>
    <cellStyle name="Normal - Style1 39" xfId="260"/>
    <cellStyle name="Normal - Style1 4" xfId="73"/>
    <cellStyle name="Normal - Style1 40" xfId="261"/>
    <cellStyle name="Normal - Style1 41" xfId="262"/>
    <cellStyle name="Normal - Style1 42" xfId="263"/>
    <cellStyle name="Normal - Style1 43" xfId="264"/>
    <cellStyle name="Normal - Style1 44" xfId="265"/>
    <cellStyle name="Normal - Style1 5" xfId="74"/>
    <cellStyle name="Normal - Style1 6" xfId="266"/>
    <cellStyle name="Normal - Style1 7" xfId="267"/>
    <cellStyle name="Normal - Style1 8" xfId="268"/>
    <cellStyle name="Normal - Style1 9" xfId="269"/>
    <cellStyle name="Normal - Style1_2.Приложения к Приказу для ОЦИТ" xfId="75"/>
    <cellStyle name="Normal 2" xfId="76"/>
    <cellStyle name="Normal_# 41-Market &amp;Trends" xfId="77"/>
    <cellStyle name="Normal1" xfId="78"/>
    <cellStyle name="normбlnм_laroux" xfId="79"/>
    <cellStyle name="numbers" xfId="80"/>
    <cellStyle name="paint" xfId="81"/>
    <cellStyle name="Percent (0)" xfId="82"/>
    <cellStyle name="Percent [0]" xfId="83"/>
    <cellStyle name="Percent [00]" xfId="84"/>
    <cellStyle name="Percent [2]" xfId="85"/>
    <cellStyle name="Percent_#6 Temps &amp; Contractors" xfId="86"/>
    <cellStyle name="piw#" xfId="87"/>
    <cellStyle name="piw%" xfId="88"/>
    <cellStyle name="PrePop Currency (0)" xfId="89"/>
    <cellStyle name="PrePop Currency (2)" xfId="90"/>
    <cellStyle name="PrePop Units (0)" xfId="91"/>
    <cellStyle name="PrePop Units (1)" xfId="92"/>
    <cellStyle name="PrePop Units (2)" xfId="93"/>
    <cellStyle name="Price_Body" xfId="94"/>
    <cellStyle name="Rubles" xfId="95"/>
    <cellStyle name="stand_bord" xfId="96"/>
    <cellStyle name="Text Indent A" xfId="97"/>
    <cellStyle name="Text Indent B" xfId="98"/>
    <cellStyle name="Text Indent C" xfId="99"/>
    <cellStyle name="Tickmark" xfId="100"/>
    <cellStyle name="Беззащитный" xfId="101"/>
    <cellStyle name="Виталий" xfId="102"/>
    <cellStyle name="Гиперссылка 2" xfId="103"/>
    <cellStyle name="Гиперссылка 3" xfId="515"/>
    <cellStyle name="Группа" xfId="104"/>
    <cellStyle name="Данные ячейки - PerformancePoint" xfId="105"/>
    <cellStyle name="Данные ячейки - PerformancePoint 10" xfId="270"/>
    <cellStyle name="Данные ячейки - PerformancePoint 10 2" xfId="516"/>
    <cellStyle name="Данные ячейки - PerformancePoint 10 2 2" xfId="517"/>
    <cellStyle name="Данные ячейки - PerformancePoint 10 3" xfId="518"/>
    <cellStyle name="Данные ячейки - PerformancePoint 10 3 2" xfId="519"/>
    <cellStyle name="Данные ячейки - PerformancePoint 10 4" xfId="520"/>
    <cellStyle name="Данные ячейки - PerformancePoint 11" xfId="271"/>
    <cellStyle name="Данные ячейки - PerformancePoint 11 2" xfId="272"/>
    <cellStyle name="Данные ячейки - PerformancePoint 11 2 2" xfId="649"/>
    <cellStyle name="Данные ячейки - PerformancePoint 11 3" xfId="273"/>
    <cellStyle name="Данные ячейки - PerformancePoint 11 4" xfId="648"/>
    <cellStyle name="Данные ячейки - PerformancePoint 12" xfId="274"/>
    <cellStyle name="Данные ячейки - PerformancePoint 12 2" xfId="275"/>
    <cellStyle name="Данные ячейки - PerformancePoint 12 3" xfId="276"/>
    <cellStyle name="Данные ячейки - PerformancePoint 13" xfId="277"/>
    <cellStyle name="Данные ячейки - PerformancePoint 13 2" xfId="278"/>
    <cellStyle name="Данные ячейки - PerformancePoint 13 3" xfId="279"/>
    <cellStyle name="Данные ячейки - PerformancePoint 14" xfId="280"/>
    <cellStyle name="Данные ячейки - PerformancePoint 14 2" xfId="281"/>
    <cellStyle name="Данные ячейки - PerformancePoint 14 3" xfId="282"/>
    <cellStyle name="Данные ячейки - PerformancePoint 15" xfId="283"/>
    <cellStyle name="Данные ячейки - PerformancePoint 15 2" xfId="284"/>
    <cellStyle name="Данные ячейки - PerformancePoint 15 3" xfId="285"/>
    <cellStyle name="Данные ячейки - PerformancePoint 16" xfId="286"/>
    <cellStyle name="Данные ячейки - PerformancePoint 16 2" xfId="287"/>
    <cellStyle name="Данные ячейки - PerformancePoint 16 3" xfId="288"/>
    <cellStyle name="Данные ячейки - PerformancePoint 17" xfId="289"/>
    <cellStyle name="Данные ячейки - PerformancePoint 17 2" xfId="290"/>
    <cellStyle name="Данные ячейки - PerformancePoint 17 3" xfId="291"/>
    <cellStyle name="Данные ячейки - PerformancePoint 18" xfId="292"/>
    <cellStyle name="Данные ячейки - PerformancePoint 18 2" xfId="293"/>
    <cellStyle name="Данные ячейки - PerformancePoint 18 3" xfId="294"/>
    <cellStyle name="Данные ячейки - PerformancePoint 19" xfId="295"/>
    <cellStyle name="Данные ячейки - PerformancePoint 19 2" xfId="296"/>
    <cellStyle name="Данные ячейки - PerformancePoint 19 3" xfId="297"/>
    <cellStyle name="Данные ячейки - PerformancePoint 2" xfId="106"/>
    <cellStyle name="Данные ячейки - PerformancePoint 2 2" xfId="107"/>
    <cellStyle name="Данные ячейки - PerformancePoint 2 2 2" xfId="108"/>
    <cellStyle name="Данные ячейки - PerformancePoint 2 3" xfId="109"/>
    <cellStyle name="Данные ячейки - PerformancePoint 2 3 2" xfId="110"/>
    <cellStyle name="Данные ячейки - PerformancePoint 2 4" xfId="111"/>
    <cellStyle name="Данные ячейки - PerformancePoint 2 4 2" xfId="112"/>
    <cellStyle name="Данные ячейки - PerformancePoint 2 5" xfId="113"/>
    <cellStyle name="Данные ячейки - PerformancePoint 2 5 2" xfId="114"/>
    <cellStyle name="Данные ячейки - PerformancePoint 2 5 3" xfId="115"/>
    <cellStyle name="Данные ячейки - PerformancePoint 2 5 3 2" xfId="116"/>
    <cellStyle name="Данные ячейки - PerformancePoint 2 5 4" xfId="117"/>
    <cellStyle name="Данные ячейки - PerformancePoint 2 5 4 2" xfId="118"/>
    <cellStyle name="Данные ячейки - PerformancePoint 2 5 5" xfId="119"/>
    <cellStyle name="Данные ячейки - PerformancePoint 2 5 5 2" xfId="521"/>
    <cellStyle name="Данные ячейки - PerformancePoint 2 5 5 2 2" xfId="522"/>
    <cellStyle name="Данные ячейки - PerformancePoint 2 5 5 2 2 2" xfId="523"/>
    <cellStyle name="Данные ячейки - PerformancePoint 2 5 5 2 3" xfId="524"/>
    <cellStyle name="Данные ячейки - PerformancePoint 2 5 5 3" xfId="525"/>
    <cellStyle name="Данные ячейки - PerformancePoint 2 5 5 3 2" xfId="526"/>
    <cellStyle name="Данные ячейки - PerformancePoint 2 5 5 4" xfId="527"/>
    <cellStyle name="Данные ячейки - PerformancePoint 2 5 5 4 2" xfId="528"/>
    <cellStyle name="Данные ячейки - PerformancePoint 2 5 5 5" xfId="529"/>
    <cellStyle name="Данные ячейки - PerformancePoint 2 5 5 6" xfId="530"/>
    <cellStyle name="Данные ячейки - PerformancePoint 2 5 5 7" xfId="531"/>
    <cellStyle name="Данные ячейки - PerformancePoint 2 5 6" xfId="532"/>
    <cellStyle name="Данные ячейки - PerformancePoint 2 5 6 2" xfId="533"/>
    <cellStyle name="Данные ячейки - PerformancePoint 2 5 7" xfId="534"/>
    <cellStyle name="Данные ячейки - PerformancePoint 2 5 7 2" xfId="535"/>
    <cellStyle name="Данные ячейки - PerformancePoint 2 6" xfId="536"/>
    <cellStyle name="Данные ячейки - PerformancePoint 2 7" xfId="537"/>
    <cellStyle name="Данные ячейки - PerformancePoint 2 7 2" xfId="538"/>
    <cellStyle name="Данные ячейки - PerformancePoint 2 8" xfId="539"/>
    <cellStyle name="Данные ячейки - PerformancePoint 2 8 2" xfId="540"/>
    <cellStyle name="Данные ячейки - PerformancePoint 20" xfId="298"/>
    <cellStyle name="Данные ячейки - PerformancePoint 20 2" xfId="299"/>
    <cellStyle name="Данные ячейки - PerformancePoint 20 3" xfId="300"/>
    <cellStyle name="Данные ячейки - PerformancePoint 21" xfId="301"/>
    <cellStyle name="Данные ячейки - PerformancePoint 22" xfId="302"/>
    <cellStyle name="Данные ячейки - PerformancePoint 23" xfId="303"/>
    <cellStyle name="Данные ячейки - PerformancePoint 23 2" xfId="304"/>
    <cellStyle name="Данные ячейки - PerformancePoint 23 3" xfId="305"/>
    <cellStyle name="Данные ячейки - PerformancePoint 24" xfId="306"/>
    <cellStyle name="Данные ячейки - PerformancePoint 24 2" xfId="307"/>
    <cellStyle name="Данные ячейки - PerformancePoint 24 3" xfId="308"/>
    <cellStyle name="Данные ячейки - PerformancePoint 25" xfId="309"/>
    <cellStyle name="Данные ячейки - PerformancePoint 25 2" xfId="310"/>
    <cellStyle name="Данные ячейки - PerformancePoint 25 3" xfId="311"/>
    <cellStyle name="Данные ячейки - PerformancePoint 26" xfId="312"/>
    <cellStyle name="Данные ячейки - PerformancePoint 26 2" xfId="313"/>
    <cellStyle name="Данные ячейки - PerformancePoint 26 3" xfId="314"/>
    <cellStyle name="Данные ячейки - PerformancePoint 27" xfId="315"/>
    <cellStyle name="Данные ячейки - PerformancePoint 27 2" xfId="316"/>
    <cellStyle name="Данные ячейки - PerformancePoint 27 3" xfId="317"/>
    <cellStyle name="Данные ячейки - PerformancePoint 28" xfId="318"/>
    <cellStyle name="Данные ячейки - PerformancePoint 28 2" xfId="319"/>
    <cellStyle name="Данные ячейки - PerformancePoint 28 3" xfId="320"/>
    <cellStyle name="Данные ячейки - PerformancePoint 29" xfId="321"/>
    <cellStyle name="Данные ячейки - PerformancePoint 29 2" xfId="322"/>
    <cellStyle name="Данные ячейки - PerformancePoint 29 3" xfId="323"/>
    <cellStyle name="Данные ячейки - PerformancePoint 3" xfId="120"/>
    <cellStyle name="Данные ячейки - PerformancePoint 3 2" xfId="121"/>
    <cellStyle name="Данные ячейки - PerformancePoint 3 3" xfId="122"/>
    <cellStyle name="Данные ячейки - PerformancePoint 3 3 2" xfId="123"/>
    <cellStyle name="Данные ячейки - PerformancePoint 3 4" xfId="124"/>
    <cellStyle name="Данные ячейки - PerformancePoint 3 4 2" xfId="125"/>
    <cellStyle name="Данные ячейки - PerformancePoint 3 5" xfId="126"/>
    <cellStyle name="Данные ячейки - PerformancePoint 3 5 2" xfId="127"/>
    <cellStyle name="Данные ячейки - PerformancePoint 3 5 3" xfId="128"/>
    <cellStyle name="Данные ячейки - PerformancePoint 3 5 3 2" xfId="129"/>
    <cellStyle name="Данные ячейки - PerformancePoint 3 5 4" xfId="130"/>
    <cellStyle name="Данные ячейки - PerformancePoint 3 5 4 2" xfId="131"/>
    <cellStyle name="Данные ячейки - PerformancePoint 3 5 5" xfId="132"/>
    <cellStyle name="Данные ячейки - PerformancePoint 3 5 5 2" xfId="541"/>
    <cellStyle name="Данные ячейки - PerformancePoint 3 5 5 2 2" xfId="542"/>
    <cellStyle name="Данные ячейки - PerformancePoint 3 5 5 2 2 2" xfId="543"/>
    <cellStyle name="Данные ячейки - PerformancePoint 3 5 5 2 3" xfId="544"/>
    <cellStyle name="Данные ячейки - PerformancePoint 3 5 5 3" xfId="545"/>
    <cellStyle name="Данные ячейки - PerformancePoint 3 5 5 3 2" xfId="546"/>
    <cellStyle name="Данные ячейки - PerformancePoint 3 5 5 4" xfId="547"/>
    <cellStyle name="Данные ячейки - PerformancePoint 3 5 5 4 2" xfId="548"/>
    <cellStyle name="Данные ячейки - PerformancePoint 3 5 5 5" xfId="549"/>
    <cellStyle name="Данные ячейки - PerformancePoint 3 5 5 6" xfId="550"/>
    <cellStyle name="Данные ячейки - PerformancePoint 3 5 5 7" xfId="551"/>
    <cellStyle name="Данные ячейки - PerformancePoint 3 5 6" xfId="552"/>
    <cellStyle name="Данные ячейки - PerformancePoint 3 5 6 2" xfId="553"/>
    <cellStyle name="Данные ячейки - PerformancePoint 3 5 7" xfId="554"/>
    <cellStyle name="Данные ячейки - PerformancePoint 3 5 7 2" xfId="555"/>
    <cellStyle name="Данные ячейки - PerformancePoint 3 6" xfId="556"/>
    <cellStyle name="Данные ячейки - PerformancePoint 3 7" xfId="557"/>
    <cellStyle name="Данные ячейки - PerformancePoint 3 7 2" xfId="558"/>
    <cellStyle name="Данные ячейки - PerformancePoint 3 8" xfId="559"/>
    <cellStyle name="Данные ячейки - PerformancePoint 3 8 2" xfId="560"/>
    <cellStyle name="Данные ячейки - PerformancePoint 30" xfId="324"/>
    <cellStyle name="Данные ячейки - PerformancePoint 31" xfId="325"/>
    <cellStyle name="Данные ячейки - PerformancePoint 32" xfId="326"/>
    <cellStyle name="Данные ячейки - PerformancePoint 33" xfId="327"/>
    <cellStyle name="Данные ячейки - PerformancePoint 34" xfId="328"/>
    <cellStyle name="Данные ячейки - PerformancePoint 35" xfId="329"/>
    <cellStyle name="Данные ячейки - PerformancePoint 36" xfId="330"/>
    <cellStyle name="Данные ячейки - PerformancePoint 37" xfId="331"/>
    <cellStyle name="Данные ячейки - PerformancePoint 38" xfId="332"/>
    <cellStyle name="Данные ячейки - PerformancePoint 39" xfId="333"/>
    <cellStyle name="Данные ячейки - PerformancePoint 4" xfId="133"/>
    <cellStyle name="Данные ячейки - PerformancePoint 4 2" xfId="334"/>
    <cellStyle name="Данные ячейки - PerformancePoint 4 3" xfId="335"/>
    <cellStyle name="Данные ячейки - PerformancePoint 40" xfId="336"/>
    <cellStyle name="Данные ячейки - PerformancePoint 41" xfId="337"/>
    <cellStyle name="Данные ячейки - PerformancePoint 42" xfId="338"/>
    <cellStyle name="Данные ячейки - PerformancePoint 43" xfId="339"/>
    <cellStyle name="Данные ячейки - PerformancePoint 44" xfId="340"/>
    <cellStyle name="Данные ячейки - PerformancePoint 5" xfId="134"/>
    <cellStyle name="Данные ячейки - PerformancePoint 5 2" xfId="135"/>
    <cellStyle name="Данные ячейки - PerformancePoint 5 3" xfId="341"/>
    <cellStyle name="Данные ячейки - PerformancePoint 6" xfId="136"/>
    <cellStyle name="Данные ячейки - PerformancePoint 6 2" xfId="137"/>
    <cellStyle name="Данные ячейки - PerformancePoint 6 3" xfId="342"/>
    <cellStyle name="Данные ячейки - PerformancePoint 7" xfId="138"/>
    <cellStyle name="Данные ячейки - PerformancePoint 7 2" xfId="139"/>
    <cellStyle name="Данные ячейки - PerformancePoint 8" xfId="140"/>
    <cellStyle name="Данные ячейки - PerformancePoint 8 2" xfId="141"/>
    <cellStyle name="Данные ячейки - PerformancePoint 8 3" xfId="142"/>
    <cellStyle name="Данные ячейки - PerformancePoint 8 3 2" xfId="143"/>
    <cellStyle name="Данные ячейки - PerformancePoint 8 4" xfId="144"/>
    <cellStyle name="Данные ячейки - PerformancePoint 8 4 2" xfId="145"/>
    <cellStyle name="Данные ячейки - PerformancePoint 8 5" xfId="146"/>
    <cellStyle name="Данные ячейки - PerformancePoint 8 5 2" xfId="561"/>
    <cellStyle name="Данные ячейки - PerformancePoint 8 5 2 2" xfId="562"/>
    <cellStyle name="Данные ячейки - PerformancePoint 8 5 2 2 2" xfId="563"/>
    <cellStyle name="Данные ячейки - PerformancePoint 8 5 2 3" xfId="564"/>
    <cellStyle name="Данные ячейки - PerformancePoint 8 5 3" xfId="565"/>
    <cellStyle name="Данные ячейки - PerformancePoint 8 5 3 2" xfId="566"/>
    <cellStyle name="Данные ячейки - PerformancePoint 8 5 4" xfId="567"/>
    <cellStyle name="Данные ячейки - PerformancePoint 8 5 4 2" xfId="568"/>
    <cellStyle name="Данные ячейки - PerformancePoint 8 5 5" xfId="569"/>
    <cellStyle name="Данные ячейки - PerformancePoint 8 5 6" xfId="570"/>
    <cellStyle name="Данные ячейки - PerformancePoint 8 5 7" xfId="571"/>
    <cellStyle name="Данные ячейки - PerformancePoint 8 6" xfId="572"/>
    <cellStyle name="Данные ячейки - PerformancePoint 8 6 2" xfId="573"/>
    <cellStyle name="Данные ячейки - PerformancePoint 8 7" xfId="574"/>
    <cellStyle name="Данные ячейки - PerformancePoint 8 7 2" xfId="575"/>
    <cellStyle name="Данные ячейки - PerformancePoint 9" xfId="147"/>
    <cellStyle name="Данные ячейки - PerformancePoint 9 2" xfId="576"/>
    <cellStyle name="Данные ячейки - PerformancePoint 9 2 2" xfId="577"/>
    <cellStyle name="Данные ячейки - PerformancePoint 9 2 2 2" xfId="578"/>
    <cellStyle name="Данные ячейки - PerformancePoint 9 2 3" xfId="579"/>
    <cellStyle name="Данные ячейки - PerformancePoint 9 3" xfId="580"/>
    <cellStyle name="Данные ячейки - PerformancePoint 9 3 2" xfId="581"/>
    <cellStyle name="Данные ячейки - PerformancePoint 9 4" xfId="582"/>
    <cellStyle name="Данные ячейки - PerformancePoint 9 4 2" xfId="583"/>
    <cellStyle name="Данные ячейки - PerformancePoint 9 5" xfId="584"/>
    <cellStyle name="Данные ячейки - PerformancePoint 9 6" xfId="585"/>
    <cellStyle name="Данные ячейки - PerformancePoint 9 7" xfId="586"/>
    <cellStyle name="Дата" xfId="148"/>
    <cellStyle name="Денежный 2" xfId="650"/>
    <cellStyle name="Защитный" xfId="149"/>
    <cellStyle name="Звезды" xfId="150"/>
    <cellStyle name="Звезды 10" xfId="343"/>
    <cellStyle name="Звезды 11" xfId="344"/>
    <cellStyle name="Звезды 12" xfId="345"/>
    <cellStyle name="Звезды 13" xfId="346"/>
    <cellStyle name="Звезды 14" xfId="347"/>
    <cellStyle name="Звезды 15" xfId="348"/>
    <cellStyle name="Звезды 16" xfId="349"/>
    <cellStyle name="Звезды 17" xfId="350"/>
    <cellStyle name="Звезды 18" xfId="351"/>
    <cellStyle name="Звезды 19" xfId="352"/>
    <cellStyle name="Звезды 2" xfId="151"/>
    <cellStyle name="Звезды 20" xfId="353"/>
    <cellStyle name="Звезды 21" xfId="354"/>
    <cellStyle name="Звезды 22" xfId="355"/>
    <cellStyle name="Звезды 23" xfId="356"/>
    <cellStyle name="Звезды 24" xfId="357"/>
    <cellStyle name="Звезды 25" xfId="358"/>
    <cellStyle name="Звезды 26" xfId="359"/>
    <cellStyle name="Звезды 27" xfId="360"/>
    <cellStyle name="Звезды 28" xfId="361"/>
    <cellStyle name="Звезды 29" xfId="362"/>
    <cellStyle name="Звезды 3" xfId="152"/>
    <cellStyle name="Звезды 30" xfId="363"/>
    <cellStyle name="Звезды 31" xfId="364"/>
    <cellStyle name="Звезды 32" xfId="365"/>
    <cellStyle name="Звезды 33" xfId="366"/>
    <cellStyle name="Звезды 34" xfId="367"/>
    <cellStyle name="Звезды 35" xfId="368"/>
    <cellStyle name="Звезды 36" xfId="369"/>
    <cellStyle name="Звезды 37" xfId="370"/>
    <cellStyle name="Звезды 38" xfId="371"/>
    <cellStyle name="Звезды 39" xfId="372"/>
    <cellStyle name="Звезды 4" xfId="153"/>
    <cellStyle name="Звезды 40" xfId="373"/>
    <cellStyle name="Звезды 41" xfId="374"/>
    <cellStyle name="Звезды 42" xfId="375"/>
    <cellStyle name="Звезды 43" xfId="376"/>
    <cellStyle name="Звезды 44" xfId="377"/>
    <cellStyle name="Звезды 5" xfId="154"/>
    <cellStyle name="Звезды 6" xfId="378"/>
    <cellStyle name="Звезды 7" xfId="379"/>
    <cellStyle name="Звезды 8" xfId="380"/>
    <cellStyle name="Звезды 9" xfId="381"/>
    <cellStyle name="Звезды_2.Приложения к Приказу для ОЦИТ" xfId="155"/>
    <cellStyle name="КАНДАГАЧ тел3-33-96" xfId="156"/>
    <cellStyle name="Обычный" xfId="0" builtinId="0"/>
    <cellStyle name="Обычный 10" xfId="157"/>
    <cellStyle name="Обычный 11" xfId="3"/>
    <cellStyle name="Обычный 12" xfId="158"/>
    <cellStyle name="Обычный 13" xfId="159"/>
    <cellStyle name="Обычный 14" xfId="160"/>
    <cellStyle name="Обычный 14 2" xfId="161"/>
    <cellStyle name="Обычный 14 2 2" xfId="587"/>
    <cellStyle name="Обычный 14 2_ПЗ" xfId="641"/>
    <cellStyle name="Обычный 14 3" xfId="588"/>
    <cellStyle name="Обычный 14_комм.расходы ПП-прил.5.17" xfId="162"/>
    <cellStyle name="Обычный 15" xfId="589"/>
    <cellStyle name="Обычный 16" xfId="590"/>
    <cellStyle name="Обычный 2" xfId="163"/>
    <cellStyle name="Обычный 2 2" xfId="1"/>
    <cellStyle name="Обычный 2 4" xfId="164"/>
    <cellStyle name="Обычный 3" xfId="165"/>
    <cellStyle name="Обычный 3 2" xfId="166"/>
    <cellStyle name="Обычный 3 2 2" xfId="167"/>
    <cellStyle name="Обычный 3 2 3" xfId="591"/>
    <cellStyle name="Обычный 3 2 3 2" xfId="592"/>
    <cellStyle name="Обычный 3 2 3_ПЗ" xfId="643"/>
    <cellStyle name="Обычный 3 2_ПЗ" xfId="642"/>
    <cellStyle name="Обычный 3 3" xfId="168"/>
    <cellStyle name="Обычный 3 4" xfId="593"/>
    <cellStyle name="Обычный 4" xfId="169"/>
    <cellStyle name="Обычный 5" xfId="170"/>
    <cellStyle name="Обычный 5 2" xfId="171"/>
    <cellStyle name="Обычный 5 2 2" xfId="172"/>
    <cellStyle name="Обычный 5 3" xfId="173"/>
    <cellStyle name="Обычный 5 4" xfId="174"/>
    <cellStyle name="Обычный 5 4 2" xfId="594"/>
    <cellStyle name="Обычный 5 4_ПЗ" xfId="645"/>
    <cellStyle name="Обычный 5 5" xfId="595"/>
    <cellStyle name="Обычный 5_ПЗ" xfId="644"/>
    <cellStyle name="Обычный 6" xfId="175"/>
    <cellStyle name="Обычный 6 2" xfId="596"/>
    <cellStyle name="Обычный 6 3" xfId="597"/>
    <cellStyle name="Обычный 6_ПЗ" xfId="646"/>
    <cellStyle name="Обычный 7" xfId="176"/>
    <cellStyle name="Обычный 8" xfId="177"/>
    <cellStyle name="Обычный 9" xfId="178"/>
    <cellStyle name="Обычный 9 2" xfId="598"/>
    <cellStyle name="Процентный 2" xfId="179"/>
    <cellStyle name="Стиль 1" xfId="2"/>
    <cellStyle name="Стиль 2" xfId="180"/>
    <cellStyle name="Стиль_названий" xfId="181"/>
    <cellStyle name="Тысячи [0]" xfId="182"/>
    <cellStyle name="Тысячи [0] 10" xfId="382"/>
    <cellStyle name="Тысячи [0] 11" xfId="383"/>
    <cellStyle name="Тысячи [0] 12" xfId="384"/>
    <cellStyle name="Тысячи [0] 13" xfId="385"/>
    <cellStyle name="Тысячи [0] 14" xfId="386"/>
    <cellStyle name="Тысячи [0] 15" xfId="387"/>
    <cellStyle name="Тысячи [0] 16" xfId="388"/>
    <cellStyle name="Тысячи [0] 17" xfId="389"/>
    <cellStyle name="Тысячи [0] 18" xfId="390"/>
    <cellStyle name="Тысячи [0] 19" xfId="391"/>
    <cellStyle name="Тысячи [0] 2" xfId="183"/>
    <cellStyle name="Тысячи [0] 2 2" xfId="184"/>
    <cellStyle name="Тысячи [0] 2 3" xfId="185"/>
    <cellStyle name="Тысячи [0] 2 4" xfId="600"/>
    <cellStyle name="Тысячи [0] 2_ПЗ" xfId="599"/>
    <cellStyle name="Тысячи [0] 20" xfId="392"/>
    <cellStyle name="Тысячи [0] 21" xfId="393"/>
    <cellStyle name="Тысячи [0] 22" xfId="394"/>
    <cellStyle name="Тысячи [0] 23" xfId="395"/>
    <cellStyle name="Тысячи [0] 24" xfId="396"/>
    <cellStyle name="Тысячи [0] 25" xfId="397"/>
    <cellStyle name="Тысячи [0] 26" xfId="398"/>
    <cellStyle name="Тысячи [0] 27" xfId="399"/>
    <cellStyle name="Тысячи [0] 28" xfId="400"/>
    <cellStyle name="Тысячи [0] 29" xfId="401"/>
    <cellStyle name="Тысячи [0] 3" xfId="186"/>
    <cellStyle name="Тысячи [0] 3 2" xfId="187"/>
    <cellStyle name="Тысячи [0] 3 3" xfId="602"/>
    <cellStyle name="Тысячи [0] 3_ПЗ" xfId="601"/>
    <cellStyle name="Тысячи [0] 30" xfId="402"/>
    <cellStyle name="Тысячи [0] 31" xfId="403"/>
    <cellStyle name="Тысячи [0] 32" xfId="404"/>
    <cellStyle name="Тысячи [0] 33" xfId="405"/>
    <cellStyle name="Тысячи [0] 34" xfId="406"/>
    <cellStyle name="Тысячи [0] 35" xfId="407"/>
    <cellStyle name="Тысячи [0] 36" xfId="408"/>
    <cellStyle name="Тысячи [0] 37" xfId="409"/>
    <cellStyle name="Тысячи [0] 38" xfId="410"/>
    <cellStyle name="Тысячи [0] 39" xfId="411"/>
    <cellStyle name="Тысячи [0] 4" xfId="188"/>
    <cellStyle name="Тысячи [0] 4 2" xfId="189"/>
    <cellStyle name="Тысячи [0] 4 3" xfId="604"/>
    <cellStyle name="Тысячи [0] 4_ПЗ" xfId="603"/>
    <cellStyle name="Тысячи [0] 40" xfId="412"/>
    <cellStyle name="Тысячи [0] 41" xfId="413"/>
    <cellStyle name="Тысячи [0] 42" xfId="414"/>
    <cellStyle name="Тысячи [0] 43" xfId="415"/>
    <cellStyle name="Тысячи [0] 44" xfId="416"/>
    <cellStyle name="Тысячи [0] 5" xfId="190"/>
    <cellStyle name="Тысячи [0] 6" xfId="191"/>
    <cellStyle name="Тысячи [0] 6 2" xfId="192"/>
    <cellStyle name="Тысячи [0] 6 3" xfId="606"/>
    <cellStyle name="Тысячи [0] 6 4" xfId="651"/>
    <cellStyle name="Тысячи [0] 6_ПЗ" xfId="605"/>
    <cellStyle name="Тысячи [0] 7" xfId="417"/>
    <cellStyle name="Тысячи [0] 7 2" xfId="652"/>
    <cellStyle name="Тысячи [0] 7_ПЗ" xfId="607"/>
    <cellStyle name="Тысячи [0] 8" xfId="418"/>
    <cellStyle name="Тысячи [0] 9" xfId="419"/>
    <cellStyle name="Тысячи [0]_аренда ОЦИТ-прил.8" xfId="193"/>
    <cellStyle name="Тысячи_3Com" xfId="194"/>
    <cellStyle name="Үђғһ‹һ‚һљ1" xfId="195"/>
    <cellStyle name="Үђғһ‹һ‚һљ2" xfId="196"/>
    <cellStyle name="Финансовый 2" xfId="198"/>
    <cellStyle name="Финансовый 2 10" xfId="199"/>
    <cellStyle name="Финансовый 2 11" xfId="420"/>
    <cellStyle name="Финансовый 2 12" xfId="421"/>
    <cellStyle name="Финансовый 2 13" xfId="422"/>
    <cellStyle name="Финансовый 2 14" xfId="423"/>
    <cellStyle name="Финансовый 2 15" xfId="424"/>
    <cellStyle name="Финансовый 2 16" xfId="425"/>
    <cellStyle name="Финансовый 2 17" xfId="426"/>
    <cellStyle name="Финансовый 2 18" xfId="427"/>
    <cellStyle name="Финансовый 2 19" xfId="428"/>
    <cellStyle name="Финансовый 2 2" xfId="200"/>
    <cellStyle name="Финансовый 2 2 2" xfId="608"/>
    <cellStyle name="Финансовый 2 20" xfId="429"/>
    <cellStyle name="Финансовый 2 21" xfId="430"/>
    <cellStyle name="Финансовый 2 22" xfId="431"/>
    <cellStyle name="Финансовый 2 23" xfId="432"/>
    <cellStyle name="Финансовый 2 24" xfId="433"/>
    <cellStyle name="Финансовый 2 25" xfId="434"/>
    <cellStyle name="Финансовый 2 26" xfId="435"/>
    <cellStyle name="Финансовый 2 27" xfId="436"/>
    <cellStyle name="Финансовый 2 28" xfId="437"/>
    <cellStyle name="Финансовый 2 29" xfId="438"/>
    <cellStyle name="Финансовый 2 3" xfId="201"/>
    <cellStyle name="Финансовый 2 30" xfId="439"/>
    <cellStyle name="Финансовый 2 31" xfId="440"/>
    <cellStyle name="Финансовый 2 32" xfId="441"/>
    <cellStyle name="Финансовый 2 33" xfId="442"/>
    <cellStyle name="Финансовый 2 34" xfId="443"/>
    <cellStyle name="Финансовый 2 35" xfId="444"/>
    <cellStyle name="Финансовый 2 36" xfId="445"/>
    <cellStyle name="Финансовый 2 37" xfId="446"/>
    <cellStyle name="Финансовый 2 38" xfId="447"/>
    <cellStyle name="Финансовый 2 39" xfId="448"/>
    <cellStyle name="Финансовый 2 4" xfId="202"/>
    <cellStyle name="Финансовый 2 40" xfId="449"/>
    <cellStyle name="Финансовый 2 41" xfId="450"/>
    <cellStyle name="Финансовый 2 42" xfId="451"/>
    <cellStyle name="Финансовый 2 43" xfId="452"/>
    <cellStyle name="Финансовый 2 44" xfId="453"/>
    <cellStyle name="Финансовый 2 5" xfId="203"/>
    <cellStyle name="Финансовый 2 6" xfId="454"/>
    <cellStyle name="Финансовый 2 7" xfId="455"/>
    <cellStyle name="Финансовый 2 8" xfId="456"/>
    <cellStyle name="Финансовый 2 9" xfId="457"/>
    <cellStyle name="Финансовый 3" xfId="204"/>
    <cellStyle name="Финансовый 3 2" xfId="205"/>
    <cellStyle name="Финансовый 3 3" xfId="206"/>
    <cellStyle name="Финансовый 4" xfId="207"/>
    <cellStyle name="Финансовый 4 10" xfId="458"/>
    <cellStyle name="Финансовый 4 10 2" xfId="609"/>
    <cellStyle name="Финансовый 4 11" xfId="459"/>
    <cellStyle name="Финансовый 4 12" xfId="460"/>
    <cellStyle name="Финансовый 4 2" xfId="208"/>
    <cellStyle name="Финансовый 4 2 2" xfId="209"/>
    <cellStyle name="Финансовый 4 2 3" xfId="461"/>
    <cellStyle name="Финансовый 4 3" xfId="210"/>
    <cellStyle name="Финансовый 4 3 2" xfId="462"/>
    <cellStyle name="Финансовый 4 3 3" xfId="463"/>
    <cellStyle name="Финансовый 4 4" xfId="211"/>
    <cellStyle name="Финансовый 4 4 2" xfId="212"/>
    <cellStyle name="Финансовый 4 4 3" xfId="464"/>
    <cellStyle name="Финансовый 4 5" xfId="213"/>
    <cellStyle name="Финансовый 4 5 2" xfId="214"/>
    <cellStyle name="Финансовый 4 6" xfId="215"/>
    <cellStyle name="Финансовый 4 6 2" xfId="216"/>
    <cellStyle name="Финансовый 4 6 3" xfId="217"/>
    <cellStyle name="Финансовый 4 6 3 2" xfId="218"/>
    <cellStyle name="Финансовый 4 6 4" xfId="219"/>
    <cellStyle name="Финансовый 4 6 4 2" xfId="220"/>
    <cellStyle name="Финансовый 4 6 5" xfId="221"/>
    <cellStyle name="Финансовый 4 6 5 2" xfId="610"/>
    <cellStyle name="Финансовый 4 6 5 2 2" xfId="611"/>
    <cellStyle name="Финансовый 4 6 5 2 2 2" xfId="612"/>
    <cellStyle name="Финансовый 4 6 5 2 3" xfId="613"/>
    <cellStyle name="Финансовый 4 6 5 3" xfId="614"/>
    <cellStyle name="Финансовый 4 6 5 3 2" xfId="615"/>
    <cellStyle name="Финансовый 4 6 5 4" xfId="616"/>
    <cellStyle name="Финансовый 4 6 5 4 2" xfId="617"/>
    <cellStyle name="Финансовый 4 6 5 5" xfId="618"/>
    <cellStyle name="Финансовый 4 6 5 6" xfId="619"/>
    <cellStyle name="Финансовый 4 6 5 7" xfId="620"/>
    <cellStyle name="Финансовый 4 6 6" xfId="621"/>
    <cellStyle name="Финансовый 4 6 6 2" xfId="622"/>
    <cellStyle name="Финансовый 4 6 7" xfId="623"/>
    <cellStyle name="Финансовый 4 6 7 2" xfId="624"/>
    <cellStyle name="Финансовый 4 7" xfId="222"/>
    <cellStyle name="Финансовый 4 7 2" xfId="625"/>
    <cellStyle name="Финансовый 4 7 2 2" xfId="626"/>
    <cellStyle name="Финансовый 4 7 2 2 2" xfId="627"/>
    <cellStyle name="Финансовый 4 7 2 3" xfId="628"/>
    <cellStyle name="Финансовый 4 7 3" xfId="629"/>
    <cellStyle name="Финансовый 4 7 3 2" xfId="630"/>
    <cellStyle name="Финансовый 4 7 4" xfId="631"/>
    <cellStyle name="Финансовый 4 7 4 2" xfId="632"/>
    <cellStyle name="Финансовый 4 7 5" xfId="633"/>
    <cellStyle name="Финансовый 4 7 6" xfId="634"/>
    <cellStyle name="Финансовый 4 7 7" xfId="635"/>
    <cellStyle name="Финансовый 4 8" xfId="465"/>
    <cellStyle name="Финансовый 4 8 2" xfId="636"/>
    <cellStyle name="Финансовый 4 8 2 2" xfId="637"/>
    <cellStyle name="Финансовый 4 9" xfId="466"/>
    <cellStyle name="Финансовый 4 9 2" xfId="638"/>
    <cellStyle name="Финансовый 5" xfId="197"/>
    <cellStyle name="Финансовый 5 2" xfId="653"/>
    <cellStyle name="Цена" xfId="223"/>
    <cellStyle name="Цена 10" xfId="467"/>
    <cellStyle name="Цена 11" xfId="468"/>
    <cellStyle name="Цена 12" xfId="469"/>
    <cellStyle name="Цена 13" xfId="470"/>
    <cellStyle name="Цена 14" xfId="471"/>
    <cellStyle name="Цена 15" xfId="472"/>
    <cellStyle name="Цена 16" xfId="473"/>
    <cellStyle name="Цена 17" xfId="474"/>
    <cellStyle name="Цена 18" xfId="475"/>
    <cellStyle name="Цена 19" xfId="476"/>
    <cellStyle name="Цена 2" xfId="224"/>
    <cellStyle name="Цена 20" xfId="477"/>
    <cellStyle name="Цена 21" xfId="478"/>
    <cellStyle name="Цена 22" xfId="479"/>
    <cellStyle name="Цена 23" xfId="480"/>
    <cellStyle name="Цена 24" xfId="481"/>
    <cellStyle name="Цена 25" xfId="482"/>
    <cellStyle name="Цена 26" xfId="483"/>
    <cellStyle name="Цена 27" xfId="484"/>
    <cellStyle name="Цена 28" xfId="485"/>
    <cellStyle name="Цена 29" xfId="486"/>
    <cellStyle name="Цена 3" xfId="225"/>
    <cellStyle name="Цена 30" xfId="487"/>
    <cellStyle name="Цена 31" xfId="488"/>
    <cellStyle name="Цена 32" xfId="489"/>
    <cellStyle name="Цена 33" xfId="490"/>
    <cellStyle name="Цена 34" xfId="491"/>
    <cellStyle name="Цена 35" xfId="492"/>
    <cellStyle name="Цена 36" xfId="493"/>
    <cellStyle name="Цена 37" xfId="494"/>
    <cellStyle name="Цена 38" xfId="495"/>
    <cellStyle name="Цена 39" xfId="496"/>
    <cellStyle name="Цена 4" xfId="226"/>
    <cellStyle name="Цена 40" xfId="497"/>
    <cellStyle name="Цена 41" xfId="498"/>
    <cellStyle name="Цена 42" xfId="499"/>
    <cellStyle name="Цена 43" xfId="500"/>
    <cellStyle name="Цена 44" xfId="501"/>
    <cellStyle name="Цена 5" xfId="227"/>
    <cellStyle name="Цена 6" xfId="502"/>
    <cellStyle name="Цена 7" xfId="503"/>
    <cellStyle name="Цена 8" xfId="504"/>
    <cellStyle name="Цена 9" xfId="505"/>
    <cellStyle name="Цена_2.Приложения к Приказу для ОЦИТ" xfId="228"/>
    <cellStyle name="Џђ?–…?’?›?" xfId="647"/>
    <cellStyle name="Џђһ–…қ’қ›ү" xfId="230"/>
    <cellStyle name="Џђћ–…ќ’ќ›‰" xfId="229"/>
    <cellStyle name="Џђћ–…ќ’ќ›‰ 2" xfId="639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68"/>
  <sheetViews>
    <sheetView tabSelected="1" view="pageBreakPreview" zoomScale="80" zoomScaleSheetLayoutView="80" workbookViewId="0">
      <pane ySplit="3" topLeftCell="A4" activePane="bottomLeft" state="frozen"/>
      <selection pane="bottomLeft" activeCell="B9" sqref="B9"/>
    </sheetView>
  </sheetViews>
  <sheetFormatPr defaultRowHeight="15"/>
  <cols>
    <col min="1" max="1" width="9.140625" style="41"/>
    <col min="2" max="2" width="28.28515625" style="7" customWidth="1"/>
    <col min="3" max="3" width="12.42578125" style="7" customWidth="1"/>
    <col min="4" max="4" width="28.5703125" style="7" customWidth="1"/>
    <col min="5" max="5" width="11.7109375" style="2" customWidth="1"/>
    <col min="6" max="6" width="10.7109375" style="2" customWidth="1"/>
    <col min="7" max="7" width="19" style="2" customWidth="1"/>
    <col min="8" max="8" width="18.140625" style="2" customWidth="1"/>
    <col min="9" max="9" width="15.5703125" style="2" customWidth="1"/>
    <col min="10" max="10" width="13.140625" style="2" customWidth="1"/>
    <col min="11" max="16384" width="9.140625" style="2"/>
  </cols>
  <sheetData>
    <row r="1" spans="1:10" ht="45" customHeight="1">
      <c r="A1" s="59" t="s">
        <v>3419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64.5" customHeight="1">
      <c r="A2" s="59" t="s">
        <v>1944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48" customHeight="1">
      <c r="A3" s="68" t="s">
        <v>94</v>
      </c>
      <c r="B3" s="57" t="s">
        <v>580</v>
      </c>
      <c r="C3" s="69" t="s">
        <v>581</v>
      </c>
      <c r="D3" s="69" t="s">
        <v>95</v>
      </c>
      <c r="E3" s="60" t="s">
        <v>98</v>
      </c>
      <c r="F3" s="60" t="s">
        <v>99</v>
      </c>
      <c r="G3" s="63" t="s">
        <v>97</v>
      </c>
      <c r="H3" s="69" t="s">
        <v>0</v>
      </c>
      <c r="I3" s="60" t="s">
        <v>1</v>
      </c>
      <c r="J3" s="69" t="s">
        <v>96</v>
      </c>
    </row>
    <row r="4" spans="1:10">
      <c r="A4" s="68"/>
      <c r="B4" s="58"/>
      <c r="C4" s="69"/>
      <c r="D4" s="69"/>
      <c r="E4" s="61"/>
      <c r="F4" s="61"/>
      <c r="G4" s="64"/>
      <c r="H4" s="69"/>
      <c r="I4" s="61"/>
      <c r="J4" s="69"/>
    </row>
    <row r="5" spans="1:10">
      <c r="A5" s="25">
        <v>1</v>
      </c>
      <c r="B5" s="9">
        <v>2</v>
      </c>
      <c r="C5" s="4">
        <v>3</v>
      </c>
      <c r="D5" s="9">
        <v>4</v>
      </c>
      <c r="E5" s="4">
        <v>5</v>
      </c>
      <c r="F5" s="9">
        <v>6</v>
      </c>
      <c r="G5" s="4">
        <v>7</v>
      </c>
      <c r="H5" s="4">
        <v>8</v>
      </c>
      <c r="I5" s="9">
        <v>9</v>
      </c>
      <c r="J5" s="9">
        <v>10</v>
      </c>
    </row>
    <row r="6" spans="1:10">
      <c r="A6" s="65" t="s">
        <v>582</v>
      </c>
      <c r="B6" s="66"/>
      <c r="C6" s="66"/>
      <c r="D6" s="66"/>
      <c r="E6" s="66"/>
      <c r="F6" s="66"/>
      <c r="G6" s="66"/>
      <c r="H6" s="66"/>
      <c r="I6" s="66"/>
      <c r="J6" s="67"/>
    </row>
    <row r="7" spans="1:10">
      <c r="A7" s="38"/>
      <c r="B7" s="20"/>
      <c r="C7" s="20"/>
      <c r="D7" s="20"/>
      <c r="E7" s="20"/>
      <c r="F7" s="20"/>
      <c r="G7" s="20"/>
      <c r="H7" s="20"/>
      <c r="I7" s="20"/>
      <c r="J7" s="20"/>
    </row>
    <row r="8" spans="1:10">
      <c r="A8" s="25">
        <v>1</v>
      </c>
      <c r="B8" s="12" t="s">
        <v>105</v>
      </c>
      <c r="C8" s="4" t="s">
        <v>578</v>
      </c>
      <c r="D8" s="4" t="s">
        <v>578</v>
      </c>
      <c r="E8" s="4" t="s">
        <v>578</v>
      </c>
      <c r="F8" s="4" t="s">
        <v>578</v>
      </c>
      <c r="G8" s="4" t="s">
        <v>101</v>
      </c>
      <c r="H8" s="11">
        <f>SUM(H9:H12)</f>
        <v>21451977.678571429</v>
      </c>
      <c r="I8" s="3" t="s">
        <v>578</v>
      </c>
      <c r="J8" s="5" t="s">
        <v>102</v>
      </c>
    </row>
    <row r="9" spans="1:10" ht="30">
      <c r="A9" s="27" t="s">
        <v>107</v>
      </c>
      <c r="B9" s="3" t="s">
        <v>612</v>
      </c>
      <c r="C9" s="4" t="s">
        <v>58</v>
      </c>
      <c r="D9" s="10" t="s">
        <v>613</v>
      </c>
      <c r="E9" s="3" t="s">
        <v>100</v>
      </c>
      <c r="F9" s="3">
        <v>6</v>
      </c>
      <c r="G9" s="4" t="s">
        <v>101</v>
      </c>
      <c r="H9" s="5">
        <v>914389.28571428568</v>
      </c>
      <c r="I9" s="22" t="s">
        <v>678</v>
      </c>
      <c r="J9" s="5" t="s">
        <v>102</v>
      </c>
    </row>
    <row r="10" spans="1:10" ht="45">
      <c r="A10" s="27" t="s">
        <v>108</v>
      </c>
      <c r="B10" s="3" t="s">
        <v>614</v>
      </c>
      <c r="C10" s="4" t="s">
        <v>58</v>
      </c>
      <c r="D10" s="10" t="s">
        <v>615</v>
      </c>
      <c r="E10" s="22" t="s">
        <v>100</v>
      </c>
      <c r="F10" s="3">
        <v>1</v>
      </c>
      <c r="G10" s="4" t="s">
        <v>101</v>
      </c>
      <c r="H10" s="5">
        <v>18551006.25</v>
      </c>
      <c r="I10" s="22" t="s">
        <v>679</v>
      </c>
      <c r="J10" s="5" t="s">
        <v>102</v>
      </c>
    </row>
    <row r="11" spans="1:10" ht="30">
      <c r="A11" s="27" t="s">
        <v>1265</v>
      </c>
      <c r="B11" s="22" t="s">
        <v>642</v>
      </c>
      <c r="C11" s="4" t="s">
        <v>58</v>
      </c>
      <c r="D11" s="10" t="s">
        <v>641</v>
      </c>
      <c r="E11" s="22" t="s">
        <v>100</v>
      </c>
      <c r="F11" s="22">
        <v>2</v>
      </c>
      <c r="G11" s="24" t="s">
        <v>217</v>
      </c>
      <c r="H11" s="5">
        <v>374999.99999999994</v>
      </c>
      <c r="I11" s="22" t="s">
        <v>679</v>
      </c>
      <c r="J11" s="5" t="s">
        <v>102</v>
      </c>
    </row>
    <row r="12" spans="1:10" ht="30">
      <c r="A12" s="27" t="s">
        <v>1266</v>
      </c>
      <c r="B12" s="22" t="s">
        <v>644</v>
      </c>
      <c r="C12" s="4" t="s">
        <v>58</v>
      </c>
      <c r="D12" s="10" t="s">
        <v>643</v>
      </c>
      <c r="E12" s="22" t="s">
        <v>100</v>
      </c>
      <c r="F12" s="22">
        <v>1</v>
      </c>
      <c r="G12" s="24" t="s">
        <v>125</v>
      </c>
      <c r="H12" s="5">
        <v>1611582.1428571427</v>
      </c>
      <c r="I12" s="22" t="s">
        <v>679</v>
      </c>
      <c r="J12" s="5" t="s">
        <v>102</v>
      </c>
    </row>
    <row r="13" spans="1:10" ht="42.75">
      <c r="A13" s="27" t="s">
        <v>106</v>
      </c>
      <c r="B13" s="12" t="s">
        <v>123</v>
      </c>
      <c r="C13" s="4" t="s">
        <v>578</v>
      </c>
      <c r="D13" s="4" t="s">
        <v>578</v>
      </c>
      <c r="E13" s="4" t="s">
        <v>578</v>
      </c>
      <c r="F13" s="4" t="s">
        <v>578</v>
      </c>
      <c r="G13" s="4" t="s">
        <v>101</v>
      </c>
      <c r="H13" s="13">
        <f>SUM(H14:H39)</f>
        <v>71503148.214285716</v>
      </c>
      <c r="I13" s="3" t="s">
        <v>578</v>
      </c>
      <c r="J13" s="5" t="s">
        <v>102</v>
      </c>
    </row>
    <row r="14" spans="1:10" ht="30">
      <c r="A14" s="19" t="s">
        <v>109</v>
      </c>
      <c r="B14" s="3" t="s">
        <v>616</v>
      </c>
      <c r="C14" s="4" t="s">
        <v>58</v>
      </c>
      <c r="D14" s="3" t="s">
        <v>629</v>
      </c>
      <c r="E14" s="22" t="s">
        <v>100</v>
      </c>
      <c r="F14" s="3">
        <v>5</v>
      </c>
      <c r="G14" s="4" t="s">
        <v>101</v>
      </c>
      <c r="H14" s="5">
        <v>0</v>
      </c>
      <c r="I14" s="22" t="s">
        <v>678</v>
      </c>
      <c r="J14" s="5" t="s">
        <v>102</v>
      </c>
    </row>
    <row r="15" spans="1:10" ht="30">
      <c r="A15" s="19" t="s">
        <v>110</v>
      </c>
      <c r="B15" s="3" t="s">
        <v>617</v>
      </c>
      <c r="C15" s="4" t="s">
        <v>58</v>
      </c>
      <c r="D15" s="3" t="s">
        <v>630</v>
      </c>
      <c r="E15" s="22" t="s">
        <v>100</v>
      </c>
      <c r="F15" s="3">
        <v>13</v>
      </c>
      <c r="G15" s="4" t="s">
        <v>101</v>
      </c>
      <c r="H15" s="5">
        <v>3412566.96</v>
      </c>
      <c r="I15" s="22" t="s">
        <v>678</v>
      </c>
      <c r="J15" s="5" t="s">
        <v>102</v>
      </c>
    </row>
    <row r="16" spans="1:10" ht="30">
      <c r="A16" s="19" t="s">
        <v>111</v>
      </c>
      <c r="B16" s="3" t="s">
        <v>618</v>
      </c>
      <c r="C16" s="4" t="s">
        <v>58</v>
      </c>
      <c r="D16" s="3" t="s">
        <v>629</v>
      </c>
      <c r="E16" s="22" t="s">
        <v>100</v>
      </c>
      <c r="F16" s="3">
        <v>4</v>
      </c>
      <c r="G16" s="4" t="s">
        <v>101</v>
      </c>
      <c r="H16" s="5">
        <v>2398542.86</v>
      </c>
      <c r="I16" s="22" t="s">
        <v>678</v>
      </c>
      <c r="J16" s="5" t="s">
        <v>102</v>
      </c>
    </row>
    <row r="17" spans="1:10" ht="30">
      <c r="A17" s="19" t="s">
        <v>112</v>
      </c>
      <c r="B17" s="3" t="s">
        <v>619</v>
      </c>
      <c r="C17" s="4" t="s">
        <v>58</v>
      </c>
      <c r="D17" s="3" t="s">
        <v>630</v>
      </c>
      <c r="E17" s="22" t="s">
        <v>100</v>
      </c>
      <c r="F17" s="3">
        <v>12</v>
      </c>
      <c r="G17" s="4" t="s">
        <v>101</v>
      </c>
      <c r="H17" s="5">
        <v>0</v>
      </c>
      <c r="I17" s="22" t="s">
        <v>678</v>
      </c>
      <c r="J17" s="5" t="s">
        <v>102</v>
      </c>
    </row>
    <row r="18" spans="1:10" ht="45">
      <c r="A18" s="19" t="s">
        <v>113</v>
      </c>
      <c r="B18" s="3" t="s">
        <v>620</v>
      </c>
      <c r="C18" s="4" t="s">
        <v>58</v>
      </c>
      <c r="D18" s="3" t="s">
        <v>631</v>
      </c>
      <c r="E18" s="22" t="s">
        <v>100</v>
      </c>
      <c r="F18" s="3">
        <v>17</v>
      </c>
      <c r="G18" s="4" t="s">
        <v>101</v>
      </c>
      <c r="H18" s="5">
        <f>696696.43-244681.25</f>
        <v>452015.18000000005</v>
      </c>
      <c r="I18" s="22" t="s">
        <v>678</v>
      </c>
      <c r="J18" s="5" t="s">
        <v>102</v>
      </c>
    </row>
    <row r="19" spans="1:10" ht="45">
      <c r="A19" s="19" t="s">
        <v>114</v>
      </c>
      <c r="B19" s="3" t="s">
        <v>621</v>
      </c>
      <c r="C19" s="4" t="s">
        <v>58</v>
      </c>
      <c r="D19" s="3" t="s">
        <v>632</v>
      </c>
      <c r="E19" s="22" t="s">
        <v>100</v>
      </c>
      <c r="F19" s="3">
        <v>11</v>
      </c>
      <c r="G19" s="4" t="s">
        <v>101</v>
      </c>
      <c r="H19" s="5">
        <f>598125-360714.3</f>
        <v>237410.7</v>
      </c>
      <c r="I19" s="22" t="s">
        <v>678</v>
      </c>
      <c r="J19" s="5" t="s">
        <v>102</v>
      </c>
    </row>
    <row r="20" spans="1:10" ht="30">
      <c r="A20" s="19" t="s">
        <v>115</v>
      </c>
      <c r="B20" s="3" t="s">
        <v>622</v>
      </c>
      <c r="C20" s="4" t="s">
        <v>58</v>
      </c>
      <c r="D20" s="3" t="s">
        <v>633</v>
      </c>
      <c r="E20" s="22" t="s">
        <v>100</v>
      </c>
      <c r="F20" s="3">
        <v>1</v>
      </c>
      <c r="G20" s="4" t="s">
        <v>101</v>
      </c>
      <c r="H20" s="5">
        <v>115142.85999999999</v>
      </c>
      <c r="I20" s="22" t="s">
        <v>679</v>
      </c>
      <c r="J20" s="5" t="s">
        <v>102</v>
      </c>
    </row>
    <row r="21" spans="1:10" ht="30">
      <c r="A21" s="19" t="s">
        <v>116</v>
      </c>
      <c r="B21" s="3" t="s">
        <v>623</v>
      </c>
      <c r="C21" s="4" t="s">
        <v>58</v>
      </c>
      <c r="D21" s="3" t="s">
        <v>634</v>
      </c>
      <c r="E21" s="22" t="s">
        <v>100</v>
      </c>
      <c r="F21" s="3">
        <v>1</v>
      </c>
      <c r="G21" s="4" t="s">
        <v>101</v>
      </c>
      <c r="H21" s="5">
        <v>111742.86</v>
      </c>
      <c r="I21" s="22" t="s">
        <v>680</v>
      </c>
      <c r="J21" s="5" t="s">
        <v>102</v>
      </c>
    </row>
    <row r="22" spans="1:10" ht="30">
      <c r="A22" s="19" t="s">
        <v>117</v>
      </c>
      <c r="B22" s="3" t="s">
        <v>25</v>
      </c>
      <c r="C22" s="4" t="s">
        <v>58</v>
      </c>
      <c r="D22" s="3" t="s">
        <v>635</v>
      </c>
      <c r="E22" s="22" t="s">
        <v>100</v>
      </c>
      <c r="F22" s="3">
        <v>5</v>
      </c>
      <c r="G22" s="4" t="s">
        <v>101</v>
      </c>
      <c r="H22" s="5">
        <v>84374.999999999985</v>
      </c>
      <c r="I22" s="22" t="s">
        <v>680</v>
      </c>
      <c r="J22" s="5" t="s">
        <v>102</v>
      </c>
    </row>
    <row r="23" spans="1:10" ht="30">
      <c r="A23" s="27" t="s">
        <v>118</v>
      </c>
      <c r="B23" s="22" t="s">
        <v>624</v>
      </c>
      <c r="C23" s="4" t="s">
        <v>58</v>
      </c>
      <c r="D23" s="22" t="s">
        <v>640</v>
      </c>
      <c r="E23" s="22" t="s">
        <v>100</v>
      </c>
      <c r="F23" s="22">
        <v>18</v>
      </c>
      <c r="G23" s="4" t="s">
        <v>101</v>
      </c>
      <c r="H23" s="5">
        <f>482142.86-482142.86</f>
        <v>0</v>
      </c>
      <c r="I23" s="22" t="s">
        <v>680</v>
      </c>
      <c r="J23" s="5" t="s">
        <v>102</v>
      </c>
    </row>
    <row r="24" spans="1:10" ht="45">
      <c r="A24" s="19" t="s">
        <v>119</v>
      </c>
      <c r="B24" s="3" t="s">
        <v>636</v>
      </c>
      <c r="C24" s="4" t="s">
        <v>58</v>
      </c>
      <c r="D24" s="3" t="s">
        <v>639</v>
      </c>
      <c r="E24" s="22" t="s">
        <v>100</v>
      </c>
      <c r="F24" s="3">
        <v>1</v>
      </c>
      <c r="G24" s="4" t="s">
        <v>101</v>
      </c>
      <c r="H24" s="5">
        <v>303571.43</v>
      </c>
      <c r="I24" s="22" t="s">
        <v>681</v>
      </c>
      <c r="J24" s="5" t="s">
        <v>102</v>
      </c>
    </row>
    <row r="25" spans="1:10" ht="45">
      <c r="A25" s="19" t="s">
        <v>120</v>
      </c>
      <c r="B25" s="3" t="s">
        <v>625</v>
      </c>
      <c r="C25" s="4" t="s">
        <v>58</v>
      </c>
      <c r="D25" s="3" t="s">
        <v>637</v>
      </c>
      <c r="E25" s="22" t="s">
        <v>100</v>
      </c>
      <c r="F25" s="3">
        <v>1</v>
      </c>
      <c r="G25" s="4" t="s">
        <v>101</v>
      </c>
      <c r="H25" s="5">
        <v>95160.71</v>
      </c>
      <c r="I25" s="22" t="s">
        <v>681</v>
      </c>
      <c r="J25" s="5" t="s">
        <v>102</v>
      </c>
    </row>
    <row r="26" spans="1:10" ht="30">
      <c r="A26" s="19" t="s">
        <v>121</v>
      </c>
      <c r="B26" s="3" t="s">
        <v>638</v>
      </c>
      <c r="C26" s="4" t="s">
        <v>58</v>
      </c>
      <c r="D26" s="3" t="s">
        <v>627</v>
      </c>
      <c r="E26" s="22" t="s">
        <v>100</v>
      </c>
      <c r="F26" s="3">
        <v>1</v>
      </c>
      <c r="G26" s="4" t="s">
        <v>101</v>
      </c>
      <c r="H26" s="5">
        <v>4858164.29</v>
      </c>
      <c r="I26" s="22" t="s">
        <v>681</v>
      </c>
      <c r="J26" s="5" t="s">
        <v>102</v>
      </c>
    </row>
    <row r="27" spans="1:10" ht="30">
      <c r="A27" s="19" t="s">
        <v>122</v>
      </c>
      <c r="B27" s="3" t="s">
        <v>626</v>
      </c>
      <c r="C27" s="4" t="s">
        <v>58</v>
      </c>
      <c r="D27" s="3" t="s">
        <v>628</v>
      </c>
      <c r="E27" s="22" t="s">
        <v>100</v>
      </c>
      <c r="F27" s="3">
        <v>1</v>
      </c>
      <c r="G27" s="4" t="s">
        <v>101</v>
      </c>
      <c r="H27" s="5">
        <v>9442491.0714285709</v>
      </c>
      <c r="I27" s="22" t="s">
        <v>681</v>
      </c>
      <c r="J27" s="5" t="s">
        <v>102</v>
      </c>
    </row>
    <row r="28" spans="1:10" ht="30">
      <c r="A28" s="19" t="s">
        <v>2070</v>
      </c>
      <c r="B28" s="22" t="s">
        <v>1917</v>
      </c>
      <c r="C28" s="4" t="s">
        <v>58</v>
      </c>
      <c r="D28" s="22" t="s">
        <v>2071</v>
      </c>
      <c r="E28" s="22" t="s">
        <v>100</v>
      </c>
      <c r="F28" s="22">
        <v>1</v>
      </c>
      <c r="G28" s="4" t="s">
        <v>101</v>
      </c>
      <c r="H28" s="5">
        <v>582142.86</v>
      </c>
      <c r="I28" s="22" t="s">
        <v>681</v>
      </c>
      <c r="J28" s="5" t="s">
        <v>102</v>
      </c>
    </row>
    <row r="29" spans="1:10" ht="60">
      <c r="A29" s="19" t="s">
        <v>3235</v>
      </c>
      <c r="B29" s="22" t="s">
        <v>3236</v>
      </c>
      <c r="C29" s="4" t="s">
        <v>60</v>
      </c>
      <c r="D29" s="22" t="s">
        <v>3237</v>
      </c>
      <c r="E29" s="22" t="s">
        <v>100</v>
      </c>
      <c r="F29" s="22">
        <v>1</v>
      </c>
      <c r="G29" s="4" t="s">
        <v>101</v>
      </c>
      <c r="H29" s="5">
        <v>360714.29</v>
      </c>
      <c r="I29" s="22" t="s">
        <v>679</v>
      </c>
      <c r="J29" s="5" t="s">
        <v>102</v>
      </c>
    </row>
    <row r="30" spans="1:10" ht="31.5">
      <c r="A30" s="48" t="s">
        <v>3381</v>
      </c>
      <c r="B30" s="44" t="s">
        <v>3382</v>
      </c>
      <c r="C30" s="4" t="s">
        <v>58</v>
      </c>
      <c r="D30" s="42" t="s">
        <v>3383</v>
      </c>
      <c r="E30" s="22" t="s">
        <v>100</v>
      </c>
      <c r="F30" s="6">
        <v>130</v>
      </c>
      <c r="G30" s="6" t="s">
        <v>101</v>
      </c>
      <c r="H30" s="5">
        <v>40624999.999999993</v>
      </c>
      <c r="I30" s="22" t="s">
        <v>680</v>
      </c>
      <c r="J30" s="47" t="s">
        <v>102</v>
      </c>
    </row>
    <row r="31" spans="1:10" ht="31.5">
      <c r="A31" s="48" t="s">
        <v>3384</v>
      </c>
      <c r="B31" s="44" t="s">
        <v>3385</v>
      </c>
      <c r="C31" s="4" t="s">
        <v>58</v>
      </c>
      <c r="D31" s="42" t="s">
        <v>3386</v>
      </c>
      <c r="E31" s="22" t="s">
        <v>100</v>
      </c>
      <c r="F31" s="6">
        <v>13</v>
      </c>
      <c r="G31" s="6" t="s">
        <v>101</v>
      </c>
      <c r="H31" s="5">
        <v>1741071.4285714284</v>
      </c>
      <c r="I31" s="22" t="s">
        <v>680</v>
      </c>
      <c r="J31" s="47" t="s">
        <v>102</v>
      </c>
    </row>
    <row r="32" spans="1:10" ht="30">
      <c r="A32" s="48" t="s">
        <v>3387</v>
      </c>
      <c r="B32" s="44" t="s">
        <v>3388</v>
      </c>
      <c r="C32" s="4" t="s">
        <v>58</v>
      </c>
      <c r="D32" s="42" t="s">
        <v>3389</v>
      </c>
      <c r="E32" s="22" t="s">
        <v>100</v>
      </c>
      <c r="F32" s="6">
        <v>12</v>
      </c>
      <c r="G32" s="6" t="s">
        <v>101</v>
      </c>
      <c r="H32" s="5">
        <v>857142.85714285704</v>
      </c>
      <c r="I32" s="22" t="s">
        <v>680</v>
      </c>
      <c r="J32" s="47" t="s">
        <v>102</v>
      </c>
    </row>
    <row r="33" spans="1:10" ht="31.5">
      <c r="A33" s="48" t="s">
        <v>3390</v>
      </c>
      <c r="B33" s="44" t="s">
        <v>3391</v>
      </c>
      <c r="C33" s="4" t="s">
        <v>58</v>
      </c>
      <c r="D33" s="42" t="s">
        <v>3392</v>
      </c>
      <c r="E33" s="22" t="s">
        <v>100</v>
      </c>
      <c r="F33" s="6">
        <v>75</v>
      </c>
      <c r="G33" s="6" t="s">
        <v>101</v>
      </c>
      <c r="H33" s="5">
        <v>2008928.5714285711</v>
      </c>
      <c r="I33" s="22" t="s">
        <v>680</v>
      </c>
      <c r="J33" s="47" t="s">
        <v>102</v>
      </c>
    </row>
    <row r="34" spans="1:10" ht="31.5">
      <c r="A34" s="48" t="s">
        <v>3393</v>
      </c>
      <c r="B34" s="44" t="s">
        <v>3394</v>
      </c>
      <c r="C34" s="4" t="s">
        <v>58</v>
      </c>
      <c r="D34" s="42" t="s">
        <v>3395</v>
      </c>
      <c r="E34" s="22" t="s">
        <v>100</v>
      </c>
      <c r="F34" s="6">
        <v>2</v>
      </c>
      <c r="G34" s="6" t="s">
        <v>101</v>
      </c>
      <c r="H34" s="5">
        <v>491071.42857142852</v>
      </c>
      <c r="I34" s="22" t="s">
        <v>680</v>
      </c>
      <c r="J34" s="47" t="s">
        <v>102</v>
      </c>
    </row>
    <row r="35" spans="1:10" ht="31.5">
      <c r="A35" s="48" t="s">
        <v>3396</v>
      </c>
      <c r="B35" s="44" t="s">
        <v>3397</v>
      </c>
      <c r="C35" s="4" t="s">
        <v>58</v>
      </c>
      <c r="D35" s="42" t="s">
        <v>3398</v>
      </c>
      <c r="E35" s="22" t="s">
        <v>100</v>
      </c>
      <c r="F35" s="6">
        <v>3</v>
      </c>
      <c r="G35" s="6" t="s">
        <v>101</v>
      </c>
      <c r="H35" s="5">
        <v>803571.42857142852</v>
      </c>
      <c r="I35" s="22" t="s">
        <v>680</v>
      </c>
      <c r="J35" s="47" t="s">
        <v>102</v>
      </c>
    </row>
    <row r="36" spans="1:10" ht="30">
      <c r="A36" s="48" t="s">
        <v>3399</v>
      </c>
      <c r="B36" s="56" t="s">
        <v>3400</v>
      </c>
      <c r="C36" s="4" t="s">
        <v>58</v>
      </c>
      <c r="D36" s="56" t="s">
        <v>3401</v>
      </c>
      <c r="E36" s="22" t="s">
        <v>100</v>
      </c>
      <c r="F36" s="6">
        <v>2</v>
      </c>
      <c r="G36" s="6" t="s">
        <v>101</v>
      </c>
      <c r="H36" s="5">
        <v>89285.714285714275</v>
      </c>
      <c r="I36" s="22" t="s">
        <v>680</v>
      </c>
      <c r="J36" s="47" t="s">
        <v>102</v>
      </c>
    </row>
    <row r="37" spans="1:10" ht="30">
      <c r="A37" s="48" t="s">
        <v>3402</v>
      </c>
      <c r="B37" s="56" t="s">
        <v>3403</v>
      </c>
      <c r="C37" s="4" t="s">
        <v>58</v>
      </c>
      <c r="D37" s="56" t="s">
        <v>3404</v>
      </c>
      <c r="E37" s="22" t="s">
        <v>100</v>
      </c>
      <c r="F37" s="6">
        <v>3</v>
      </c>
      <c r="G37" s="6" t="s">
        <v>101</v>
      </c>
      <c r="H37" s="5">
        <v>535714.28571428568</v>
      </c>
      <c r="I37" s="22" t="s">
        <v>680</v>
      </c>
      <c r="J37" s="47" t="s">
        <v>102</v>
      </c>
    </row>
    <row r="38" spans="1:10" ht="30">
      <c r="A38" s="48" t="s">
        <v>3405</v>
      </c>
      <c r="B38" s="56" t="s">
        <v>3406</v>
      </c>
      <c r="C38" s="4" t="s">
        <v>58</v>
      </c>
      <c r="D38" s="56" t="s">
        <v>3407</v>
      </c>
      <c r="E38" s="22" t="s">
        <v>100</v>
      </c>
      <c r="F38" s="6">
        <v>2</v>
      </c>
      <c r="G38" s="6" t="s">
        <v>101</v>
      </c>
      <c r="H38" s="5">
        <v>535714.28571428568</v>
      </c>
      <c r="I38" s="22" t="s">
        <v>680</v>
      </c>
      <c r="J38" s="47" t="s">
        <v>102</v>
      </c>
    </row>
    <row r="39" spans="1:10" ht="30">
      <c r="A39" s="48" t="s">
        <v>3408</v>
      </c>
      <c r="B39" s="56" t="s">
        <v>660</v>
      </c>
      <c r="C39" s="4" t="s">
        <v>58</v>
      </c>
      <c r="D39" s="56" t="s">
        <v>3409</v>
      </c>
      <c r="E39" s="22" t="s">
        <v>100</v>
      </c>
      <c r="F39" s="6">
        <v>61</v>
      </c>
      <c r="G39" s="6" t="s">
        <v>101</v>
      </c>
      <c r="H39" s="5">
        <v>1361607.1428571427</v>
      </c>
      <c r="I39" s="22" t="s">
        <v>680</v>
      </c>
      <c r="J39" s="47" t="s">
        <v>102</v>
      </c>
    </row>
    <row r="40" spans="1:10" ht="42.75">
      <c r="A40" s="19">
        <v>3</v>
      </c>
      <c r="B40" s="12" t="s">
        <v>124</v>
      </c>
      <c r="C40" s="4" t="s">
        <v>578</v>
      </c>
      <c r="D40" s="4" t="s">
        <v>578</v>
      </c>
      <c r="E40" s="4" t="s">
        <v>578</v>
      </c>
      <c r="F40" s="4" t="s">
        <v>578</v>
      </c>
      <c r="G40" s="3" t="s">
        <v>125</v>
      </c>
      <c r="H40" s="13">
        <f>SUM(H41:H95)</f>
        <v>25370271.401428573</v>
      </c>
      <c r="I40" s="3" t="s">
        <v>578</v>
      </c>
      <c r="J40" s="5" t="s">
        <v>102</v>
      </c>
    </row>
    <row r="41" spans="1:10" ht="30">
      <c r="A41" s="19" t="s">
        <v>126</v>
      </c>
      <c r="B41" s="3" t="s">
        <v>645</v>
      </c>
      <c r="C41" s="4" t="s">
        <v>58</v>
      </c>
      <c r="D41" s="3" t="s">
        <v>646</v>
      </c>
      <c r="E41" s="22" t="s">
        <v>100</v>
      </c>
      <c r="F41" s="3">
        <v>1</v>
      </c>
      <c r="G41" s="3" t="s">
        <v>216</v>
      </c>
      <c r="H41" s="5">
        <v>330357.14</v>
      </c>
      <c r="I41" s="22" t="s">
        <v>679</v>
      </c>
      <c r="J41" s="5" t="s">
        <v>102</v>
      </c>
    </row>
    <row r="42" spans="1:10" ht="30">
      <c r="A42" s="19" t="s">
        <v>127</v>
      </c>
      <c r="B42" s="3" t="s">
        <v>647</v>
      </c>
      <c r="C42" s="4" t="s">
        <v>58</v>
      </c>
      <c r="D42" s="22" t="s">
        <v>648</v>
      </c>
      <c r="E42" s="22" t="s">
        <v>100</v>
      </c>
      <c r="F42" s="3">
        <v>4</v>
      </c>
      <c r="G42" s="3" t="s">
        <v>216</v>
      </c>
      <c r="H42" s="5">
        <f>696428.57+40178.56+13392.87</f>
        <v>749999.99999999988</v>
      </c>
      <c r="I42" s="22" t="s">
        <v>679</v>
      </c>
      <c r="J42" s="5" t="s">
        <v>102</v>
      </c>
    </row>
    <row r="43" spans="1:10" ht="30">
      <c r="A43" s="19" t="s">
        <v>128</v>
      </c>
      <c r="B43" s="22" t="s">
        <v>647</v>
      </c>
      <c r="C43" s="4" t="s">
        <v>58</v>
      </c>
      <c r="D43" s="22" t="s">
        <v>648</v>
      </c>
      <c r="E43" s="22" t="s">
        <v>100</v>
      </c>
      <c r="F43" s="3">
        <v>2</v>
      </c>
      <c r="G43" s="3" t="s">
        <v>219</v>
      </c>
      <c r="H43" s="5">
        <f>348214.29+26785.71</f>
        <v>375000</v>
      </c>
      <c r="I43" s="22" t="s">
        <v>679</v>
      </c>
      <c r="J43" s="5" t="s">
        <v>102</v>
      </c>
    </row>
    <row r="44" spans="1:10" ht="45">
      <c r="A44" s="19" t="s">
        <v>129</v>
      </c>
      <c r="B44" s="22" t="s">
        <v>647</v>
      </c>
      <c r="C44" s="4" t="s">
        <v>58</v>
      </c>
      <c r="D44" s="22" t="s">
        <v>648</v>
      </c>
      <c r="E44" s="22" t="s">
        <v>100</v>
      </c>
      <c r="F44" s="3">
        <v>2</v>
      </c>
      <c r="G44" s="6" t="s">
        <v>649</v>
      </c>
      <c r="H44" s="5">
        <f>348214.29-333482.14</f>
        <v>14732.149999999965</v>
      </c>
      <c r="I44" s="22" t="s">
        <v>679</v>
      </c>
      <c r="J44" s="5" t="s">
        <v>102</v>
      </c>
    </row>
    <row r="45" spans="1:10" ht="60">
      <c r="A45" s="19" t="s">
        <v>130</v>
      </c>
      <c r="B45" s="22" t="s">
        <v>647</v>
      </c>
      <c r="C45" s="4" t="s">
        <v>58</v>
      </c>
      <c r="D45" s="22" t="s">
        <v>648</v>
      </c>
      <c r="E45" s="22" t="s">
        <v>100</v>
      </c>
      <c r="F45" s="3">
        <v>3</v>
      </c>
      <c r="G45" s="3" t="s">
        <v>222</v>
      </c>
      <c r="H45" s="5">
        <f>522321.43-13392.87-26785.71-444642.86</f>
        <v>37499.989999999991</v>
      </c>
      <c r="I45" s="22" t="s">
        <v>679</v>
      </c>
      <c r="J45" s="5" t="s">
        <v>102</v>
      </c>
    </row>
    <row r="46" spans="1:10" ht="30">
      <c r="A46" s="19" t="s">
        <v>131</v>
      </c>
      <c r="B46" s="22" t="s">
        <v>647</v>
      </c>
      <c r="C46" s="4" t="s">
        <v>58</v>
      </c>
      <c r="D46" s="22" t="s">
        <v>648</v>
      </c>
      <c r="E46" s="22" t="s">
        <v>100</v>
      </c>
      <c r="F46" s="3">
        <v>3</v>
      </c>
      <c r="G46" s="3" t="s">
        <v>233</v>
      </c>
      <c r="H46" s="5">
        <f>522321.43-522321.43</f>
        <v>0</v>
      </c>
      <c r="I46" s="22" t="s">
        <v>679</v>
      </c>
      <c r="J46" s="5" t="s">
        <v>102</v>
      </c>
    </row>
    <row r="47" spans="1:10" ht="30">
      <c r="A47" s="19" t="s">
        <v>132</v>
      </c>
      <c r="B47" s="22" t="s">
        <v>647</v>
      </c>
      <c r="C47" s="4" t="s">
        <v>58</v>
      </c>
      <c r="D47" s="22" t="s">
        <v>648</v>
      </c>
      <c r="E47" s="22" t="s">
        <v>100</v>
      </c>
      <c r="F47" s="3">
        <v>3</v>
      </c>
      <c r="G47" s="3" t="s">
        <v>229</v>
      </c>
      <c r="H47" s="5">
        <f>522321.43-444642.86-33482.14</f>
        <v>44196.430000000008</v>
      </c>
      <c r="I47" s="22" t="s">
        <v>679</v>
      </c>
      <c r="J47" s="5" t="s">
        <v>102</v>
      </c>
    </row>
    <row r="48" spans="1:10" ht="30">
      <c r="A48" s="19" t="s">
        <v>133</v>
      </c>
      <c r="B48" s="3" t="s">
        <v>650</v>
      </c>
      <c r="C48" s="4" t="s">
        <v>58</v>
      </c>
      <c r="D48" s="3" t="s">
        <v>651</v>
      </c>
      <c r="E48" s="22" t="s">
        <v>100</v>
      </c>
      <c r="F48" s="3">
        <v>5</v>
      </c>
      <c r="G48" s="3" t="s">
        <v>233</v>
      </c>
      <c r="H48" s="5">
        <v>1486526.79</v>
      </c>
      <c r="I48" s="22" t="s">
        <v>679</v>
      </c>
      <c r="J48" s="5" t="s">
        <v>102</v>
      </c>
    </row>
    <row r="49" spans="1:10" ht="30">
      <c r="A49" s="19" t="s">
        <v>134</v>
      </c>
      <c r="B49" s="3" t="s">
        <v>652</v>
      </c>
      <c r="C49" s="4" t="s">
        <v>58</v>
      </c>
      <c r="D49" s="3" t="s">
        <v>648</v>
      </c>
      <c r="E49" s="22" t="s">
        <v>100</v>
      </c>
      <c r="F49" s="3">
        <v>4</v>
      </c>
      <c r="G49" s="3" t="s">
        <v>219</v>
      </c>
      <c r="H49" s="5">
        <f>968750+80357.14-176092.85</f>
        <v>873014.28999999992</v>
      </c>
      <c r="I49" s="22" t="s">
        <v>679</v>
      </c>
      <c r="J49" s="5" t="s">
        <v>102</v>
      </c>
    </row>
    <row r="50" spans="1:10" ht="30">
      <c r="A50" s="19" t="s">
        <v>135</v>
      </c>
      <c r="B50" s="22" t="s">
        <v>652</v>
      </c>
      <c r="C50" s="4" t="s">
        <v>58</v>
      </c>
      <c r="D50" s="22" t="s">
        <v>648</v>
      </c>
      <c r="E50" s="22" t="s">
        <v>100</v>
      </c>
      <c r="F50" s="3">
        <v>4</v>
      </c>
      <c r="G50" s="3" t="s">
        <v>292</v>
      </c>
      <c r="H50" s="5">
        <f>1162500-289485.71+10.69</f>
        <v>873024.98</v>
      </c>
      <c r="I50" s="22" t="s">
        <v>679</v>
      </c>
      <c r="J50" s="5" t="s">
        <v>102</v>
      </c>
    </row>
    <row r="51" spans="1:10" ht="30">
      <c r="A51" s="19" t="s">
        <v>136</v>
      </c>
      <c r="B51" s="22" t="s">
        <v>652</v>
      </c>
      <c r="C51" s="4" t="s">
        <v>58</v>
      </c>
      <c r="D51" s="22" t="s">
        <v>648</v>
      </c>
      <c r="E51" s="22" t="s">
        <v>100</v>
      </c>
      <c r="F51" s="3">
        <v>5</v>
      </c>
      <c r="G51" s="3" t="s">
        <v>233</v>
      </c>
      <c r="H51" s="5">
        <v>1091267.8600000001</v>
      </c>
      <c r="I51" s="22" t="s">
        <v>679</v>
      </c>
      <c r="J51" s="5" t="s">
        <v>102</v>
      </c>
    </row>
    <row r="52" spans="1:10" ht="45">
      <c r="A52" s="19" t="s">
        <v>137</v>
      </c>
      <c r="B52" s="22" t="s">
        <v>652</v>
      </c>
      <c r="C52" s="4" t="s">
        <v>58</v>
      </c>
      <c r="D52" s="22" t="s">
        <v>648</v>
      </c>
      <c r="E52" s="22" t="s">
        <v>100</v>
      </c>
      <c r="F52" s="3">
        <v>2</v>
      </c>
      <c r="G52" s="3" t="s">
        <v>649</v>
      </c>
      <c r="H52" s="5">
        <v>436507.14</v>
      </c>
      <c r="I52" s="22" t="s">
        <v>679</v>
      </c>
      <c r="J52" s="5" t="s">
        <v>102</v>
      </c>
    </row>
    <row r="53" spans="1:10" ht="30">
      <c r="A53" s="19" t="s">
        <v>138</v>
      </c>
      <c r="B53" s="22" t="s">
        <v>652</v>
      </c>
      <c r="C53" s="4" t="s">
        <v>58</v>
      </c>
      <c r="D53" s="22" t="s">
        <v>648</v>
      </c>
      <c r="E53" s="22" t="s">
        <v>100</v>
      </c>
      <c r="F53" s="3">
        <v>4</v>
      </c>
      <c r="G53" s="3" t="s">
        <v>217</v>
      </c>
      <c r="H53" s="5">
        <v>873014.29</v>
      </c>
      <c r="I53" s="22" t="s">
        <v>679</v>
      </c>
      <c r="J53" s="5" t="s">
        <v>102</v>
      </c>
    </row>
    <row r="54" spans="1:10" ht="30">
      <c r="A54" s="19" t="s">
        <v>139</v>
      </c>
      <c r="B54" s="22" t="s">
        <v>652</v>
      </c>
      <c r="C54" s="4" t="s">
        <v>58</v>
      </c>
      <c r="D54" s="22" t="s">
        <v>648</v>
      </c>
      <c r="E54" s="22" t="s">
        <v>100</v>
      </c>
      <c r="F54" s="3">
        <v>4</v>
      </c>
      <c r="G54" s="3" t="s">
        <v>226</v>
      </c>
      <c r="H54" s="5">
        <v>873014.29</v>
      </c>
      <c r="I54" s="22" t="s">
        <v>679</v>
      </c>
      <c r="J54" s="5" t="s">
        <v>102</v>
      </c>
    </row>
    <row r="55" spans="1:10" ht="30">
      <c r="A55" s="19" t="s">
        <v>140</v>
      </c>
      <c r="B55" s="22" t="s">
        <v>652</v>
      </c>
      <c r="C55" s="4" t="s">
        <v>58</v>
      </c>
      <c r="D55" s="22" t="s">
        <v>648</v>
      </c>
      <c r="E55" s="22" t="s">
        <v>100</v>
      </c>
      <c r="F55" s="3">
        <v>4</v>
      </c>
      <c r="G55" s="3" t="s">
        <v>230</v>
      </c>
      <c r="H55" s="5">
        <v>873014.29</v>
      </c>
      <c r="I55" s="22" t="s">
        <v>679</v>
      </c>
      <c r="J55" s="5" t="s">
        <v>102</v>
      </c>
    </row>
    <row r="56" spans="1:10" ht="30">
      <c r="A56" s="19" t="s">
        <v>141</v>
      </c>
      <c r="B56" s="3" t="s">
        <v>621</v>
      </c>
      <c r="C56" s="4" t="s">
        <v>58</v>
      </c>
      <c r="D56" s="3" t="s">
        <v>653</v>
      </c>
      <c r="E56" s="22" t="s">
        <v>100</v>
      </c>
      <c r="F56" s="22">
        <v>1</v>
      </c>
      <c r="G56" s="3" t="s">
        <v>219</v>
      </c>
      <c r="H56" s="5">
        <f>78571.43+6964.27</f>
        <v>85535.7</v>
      </c>
      <c r="I56" s="22" t="s">
        <v>679</v>
      </c>
      <c r="J56" s="5" t="s">
        <v>102</v>
      </c>
    </row>
    <row r="57" spans="1:10" ht="30">
      <c r="A57" s="19" t="s">
        <v>142</v>
      </c>
      <c r="B57" s="22" t="s">
        <v>621</v>
      </c>
      <c r="C57" s="4" t="s">
        <v>58</v>
      </c>
      <c r="D57" s="22" t="s">
        <v>653</v>
      </c>
      <c r="E57" s="22" t="s">
        <v>100</v>
      </c>
      <c r="F57" s="22">
        <v>1</v>
      </c>
      <c r="G57" s="3" t="s">
        <v>217</v>
      </c>
      <c r="H57" s="5">
        <v>85089.29</v>
      </c>
      <c r="I57" s="22" t="s">
        <v>679</v>
      </c>
      <c r="J57" s="5" t="s">
        <v>102</v>
      </c>
    </row>
    <row r="58" spans="1:10" ht="30">
      <c r="A58" s="19" t="s">
        <v>143</v>
      </c>
      <c r="B58" s="22" t="s">
        <v>621</v>
      </c>
      <c r="C58" s="4" t="s">
        <v>58</v>
      </c>
      <c r="D58" s="22" t="s">
        <v>653</v>
      </c>
      <c r="E58" s="22" t="s">
        <v>100</v>
      </c>
      <c r="F58" s="22">
        <v>2</v>
      </c>
      <c r="G58" s="6" t="s">
        <v>292</v>
      </c>
      <c r="H58" s="5">
        <v>170178.57</v>
      </c>
      <c r="I58" s="22" t="s">
        <v>679</v>
      </c>
      <c r="J58" s="5" t="s">
        <v>102</v>
      </c>
    </row>
    <row r="59" spans="1:10" ht="30">
      <c r="A59" s="19" t="s">
        <v>144</v>
      </c>
      <c r="B59" s="22" t="s">
        <v>621</v>
      </c>
      <c r="C59" s="4" t="s">
        <v>58</v>
      </c>
      <c r="D59" s="22" t="s">
        <v>653</v>
      </c>
      <c r="E59" s="22" t="s">
        <v>100</v>
      </c>
      <c r="F59" s="22">
        <v>1</v>
      </c>
      <c r="G59" s="3" t="s">
        <v>225</v>
      </c>
      <c r="H59" s="5">
        <v>85089.29</v>
      </c>
      <c r="I59" s="22" t="s">
        <v>679</v>
      </c>
      <c r="J59" s="5" t="s">
        <v>102</v>
      </c>
    </row>
    <row r="60" spans="1:10" ht="30">
      <c r="A60" s="19" t="s">
        <v>145</v>
      </c>
      <c r="B60" s="22" t="s">
        <v>621</v>
      </c>
      <c r="C60" s="4" t="s">
        <v>58</v>
      </c>
      <c r="D60" s="22" t="s">
        <v>653</v>
      </c>
      <c r="E60" s="22" t="s">
        <v>100</v>
      </c>
      <c r="F60" s="22">
        <v>2</v>
      </c>
      <c r="G60" s="3" t="s">
        <v>228</v>
      </c>
      <c r="H60" s="5">
        <v>170178.57</v>
      </c>
      <c r="I60" s="22" t="s">
        <v>679</v>
      </c>
      <c r="J60" s="5" t="s">
        <v>102</v>
      </c>
    </row>
    <row r="61" spans="1:10" ht="30">
      <c r="A61" s="19" t="s">
        <v>146</v>
      </c>
      <c r="B61" s="51" t="s">
        <v>621</v>
      </c>
      <c r="C61" s="54" t="s">
        <v>58</v>
      </c>
      <c r="D61" s="51" t="s">
        <v>653</v>
      </c>
      <c r="E61" s="51" t="s">
        <v>100</v>
      </c>
      <c r="F61" s="51">
        <v>1</v>
      </c>
      <c r="G61" s="51" t="s">
        <v>218</v>
      </c>
      <c r="H61" s="53">
        <f>157142.86-19642.85-52142.86</f>
        <v>85357.14999999998</v>
      </c>
      <c r="I61" s="22" t="s">
        <v>679</v>
      </c>
      <c r="J61" s="5" t="s">
        <v>102</v>
      </c>
    </row>
    <row r="62" spans="1:10" ht="30">
      <c r="A62" s="19" t="s">
        <v>147</v>
      </c>
      <c r="B62" s="22" t="s">
        <v>621</v>
      </c>
      <c r="C62" s="4" t="s">
        <v>58</v>
      </c>
      <c r="D62" s="22" t="s">
        <v>653</v>
      </c>
      <c r="E62" s="22" t="s">
        <v>100</v>
      </c>
      <c r="F62" s="22">
        <v>1</v>
      </c>
      <c r="G62" s="3" t="s">
        <v>216</v>
      </c>
      <c r="H62" s="5">
        <v>85089.29</v>
      </c>
      <c r="I62" s="22" t="s">
        <v>679</v>
      </c>
      <c r="J62" s="5" t="s">
        <v>102</v>
      </c>
    </row>
    <row r="63" spans="1:10" ht="30">
      <c r="A63" s="19" t="s">
        <v>148</v>
      </c>
      <c r="B63" s="22" t="s">
        <v>621</v>
      </c>
      <c r="C63" s="4" t="s">
        <v>58</v>
      </c>
      <c r="D63" s="22" t="s">
        <v>653</v>
      </c>
      <c r="E63" s="22" t="s">
        <v>100</v>
      </c>
      <c r="F63" s="22">
        <v>1</v>
      </c>
      <c r="G63" s="3" t="s">
        <v>230</v>
      </c>
      <c r="H63" s="5">
        <v>85089.29</v>
      </c>
      <c r="I63" s="22" t="s">
        <v>679</v>
      </c>
      <c r="J63" s="5" t="s">
        <v>102</v>
      </c>
    </row>
    <row r="64" spans="1:10" ht="30">
      <c r="A64" s="19" t="s">
        <v>149</v>
      </c>
      <c r="B64" s="3" t="s">
        <v>654</v>
      </c>
      <c r="C64" s="4" t="s">
        <v>58</v>
      </c>
      <c r="D64" s="3" t="s">
        <v>655</v>
      </c>
      <c r="E64" s="22" t="s">
        <v>100</v>
      </c>
      <c r="F64" s="3">
        <v>1</v>
      </c>
      <c r="G64" s="3" t="s">
        <v>216</v>
      </c>
      <c r="H64" s="5">
        <v>50758.93</v>
      </c>
      <c r="I64" s="22" t="s">
        <v>679</v>
      </c>
      <c r="J64" s="5" t="s">
        <v>102</v>
      </c>
    </row>
    <row r="65" spans="1:10" ht="30">
      <c r="A65" s="19" t="s">
        <v>150</v>
      </c>
      <c r="B65" s="22" t="s">
        <v>654</v>
      </c>
      <c r="C65" s="4" t="s">
        <v>58</v>
      </c>
      <c r="D65" s="22" t="s">
        <v>655</v>
      </c>
      <c r="E65" s="22" t="s">
        <v>100</v>
      </c>
      <c r="F65" s="3">
        <v>2</v>
      </c>
      <c r="G65" s="3" t="s">
        <v>230</v>
      </c>
      <c r="H65" s="5">
        <v>101517.86</v>
      </c>
      <c r="I65" s="22" t="s">
        <v>679</v>
      </c>
      <c r="J65" s="5" t="s">
        <v>102</v>
      </c>
    </row>
    <row r="66" spans="1:10" ht="45">
      <c r="A66" s="19" t="s">
        <v>151</v>
      </c>
      <c r="B66" s="22" t="s">
        <v>654</v>
      </c>
      <c r="C66" s="4" t="s">
        <v>58</v>
      </c>
      <c r="D66" s="22" t="s">
        <v>655</v>
      </c>
      <c r="E66" s="22" t="s">
        <v>100</v>
      </c>
      <c r="F66" s="3">
        <v>1</v>
      </c>
      <c r="G66" s="3" t="s">
        <v>231</v>
      </c>
      <c r="H66" s="5">
        <v>50758.93</v>
      </c>
      <c r="I66" s="22" t="s">
        <v>679</v>
      </c>
      <c r="J66" s="5" t="s">
        <v>102</v>
      </c>
    </row>
    <row r="67" spans="1:10" ht="30">
      <c r="A67" s="19" t="s">
        <v>152</v>
      </c>
      <c r="B67" s="3" t="s">
        <v>656</v>
      </c>
      <c r="C67" s="4" t="s">
        <v>58</v>
      </c>
      <c r="D67" s="3" t="s">
        <v>657</v>
      </c>
      <c r="E67" s="22" t="s">
        <v>100</v>
      </c>
      <c r="F67" s="22">
        <v>2</v>
      </c>
      <c r="G67" s="3" t="s">
        <v>292</v>
      </c>
      <c r="H67" s="5">
        <f>222375-37017.86</f>
        <v>185357.14</v>
      </c>
      <c r="I67" s="22" t="s">
        <v>679</v>
      </c>
      <c r="J67" s="5" t="s">
        <v>102</v>
      </c>
    </row>
    <row r="68" spans="1:10" ht="30">
      <c r="A68" s="19" t="s">
        <v>153</v>
      </c>
      <c r="B68" s="22" t="s">
        <v>656</v>
      </c>
      <c r="C68" s="4" t="s">
        <v>58</v>
      </c>
      <c r="D68" s="22" t="s">
        <v>657</v>
      </c>
      <c r="E68" s="22" t="s">
        <v>100</v>
      </c>
      <c r="F68" s="22">
        <v>1</v>
      </c>
      <c r="G68" s="3" t="s">
        <v>229</v>
      </c>
      <c r="H68" s="5">
        <v>92633.93</v>
      </c>
      <c r="I68" s="22" t="s">
        <v>679</v>
      </c>
      <c r="J68" s="5" t="s">
        <v>102</v>
      </c>
    </row>
    <row r="69" spans="1:10" ht="30">
      <c r="A69" s="19" t="s">
        <v>154</v>
      </c>
      <c r="B69" s="22" t="s">
        <v>656</v>
      </c>
      <c r="C69" s="4" t="s">
        <v>58</v>
      </c>
      <c r="D69" s="22" t="s">
        <v>657</v>
      </c>
      <c r="E69" s="22" t="s">
        <v>100</v>
      </c>
      <c r="F69" s="22">
        <v>1</v>
      </c>
      <c r="G69" s="3" t="s">
        <v>221</v>
      </c>
      <c r="H69" s="5">
        <v>92633.93</v>
      </c>
      <c r="I69" s="22" t="s">
        <v>679</v>
      </c>
      <c r="J69" s="5" t="s">
        <v>102</v>
      </c>
    </row>
    <row r="70" spans="1:10" ht="45">
      <c r="A70" s="19" t="s">
        <v>155</v>
      </c>
      <c r="B70" s="3" t="s">
        <v>658</v>
      </c>
      <c r="C70" s="4" t="s">
        <v>58</v>
      </c>
      <c r="D70" s="3" t="s">
        <v>659</v>
      </c>
      <c r="E70" s="22" t="s">
        <v>100</v>
      </c>
      <c r="F70" s="3">
        <v>1</v>
      </c>
      <c r="G70" s="3" t="s">
        <v>649</v>
      </c>
      <c r="H70" s="5">
        <v>75892.85714285713</v>
      </c>
      <c r="I70" s="22" t="s">
        <v>679</v>
      </c>
      <c r="J70" s="5" t="s">
        <v>102</v>
      </c>
    </row>
    <row r="71" spans="1:10" ht="30">
      <c r="A71" s="19" t="s">
        <v>156</v>
      </c>
      <c r="B71" s="3" t="s">
        <v>660</v>
      </c>
      <c r="C71" s="4" t="s">
        <v>58</v>
      </c>
      <c r="D71" s="3" t="s">
        <v>661</v>
      </c>
      <c r="E71" s="22" t="s">
        <v>100</v>
      </c>
      <c r="F71" s="3">
        <v>1</v>
      </c>
      <c r="G71" s="3" t="s">
        <v>217</v>
      </c>
      <c r="H71" s="53">
        <f>22312.5-9839.3-6250</f>
        <v>6223.2000000000007</v>
      </c>
      <c r="I71" s="22" t="s">
        <v>679</v>
      </c>
      <c r="J71" s="5" t="s">
        <v>102</v>
      </c>
    </row>
    <row r="72" spans="1:10" ht="30">
      <c r="A72" s="19" t="s">
        <v>157</v>
      </c>
      <c r="B72" s="22" t="s">
        <v>660</v>
      </c>
      <c r="C72" s="4" t="s">
        <v>58</v>
      </c>
      <c r="D72" s="22" t="s">
        <v>661</v>
      </c>
      <c r="E72" s="22" t="s">
        <v>100</v>
      </c>
      <c r="F72" s="3">
        <v>2</v>
      </c>
      <c r="G72" s="3" t="s">
        <v>218</v>
      </c>
      <c r="H72" s="53">
        <f>44625-43750</f>
        <v>875</v>
      </c>
      <c r="I72" s="22" t="s">
        <v>679</v>
      </c>
      <c r="J72" s="5" t="s">
        <v>102</v>
      </c>
    </row>
    <row r="73" spans="1:10" ht="30">
      <c r="A73" s="19" t="s">
        <v>158</v>
      </c>
      <c r="B73" s="22" t="s">
        <v>660</v>
      </c>
      <c r="C73" s="4" t="s">
        <v>58</v>
      </c>
      <c r="D73" s="22" t="s">
        <v>661</v>
      </c>
      <c r="E73" s="22" t="s">
        <v>100</v>
      </c>
      <c r="F73" s="3">
        <v>1</v>
      </c>
      <c r="G73" s="3" t="s">
        <v>229</v>
      </c>
      <c r="H73" s="5">
        <v>60714.29</v>
      </c>
      <c r="I73" s="22" t="s">
        <v>679</v>
      </c>
      <c r="J73" s="5" t="s">
        <v>102</v>
      </c>
    </row>
    <row r="74" spans="1:10" ht="30">
      <c r="A74" s="19" t="s">
        <v>159</v>
      </c>
      <c r="B74" s="3" t="s">
        <v>609</v>
      </c>
      <c r="C74" s="4" t="s">
        <v>58</v>
      </c>
      <c r="D74" s="22" t="s">
        <v>609</v>
      </c>
      <c r="E74" s="3" t="s">
        <v>185</v>
      </c>
      <c r="F74" s="3">
        <v>1</v>
      </c>
      <c r="G74" s="3" t="s">
        <v>226</v>
      </c>
      <c r="H74" s="5">
        <v>495535.71428571426</v>
      </c>
      <c r="I74" s="22" t="s">
        <v>679</v>
      </c>
      <c r="J74" s="5" t="s">
        <v>102</v>
      </c>
    </row>
    <row r="75" spans="1:10" ht="45">
      <c r="A75" s="19" t="s">
        <v>160</v>
      </c>
      <c r="B75" s="3" t="s">
        <v>662</v>
      </c>
      <c r="C75" s="4" t="s">
        <v>58</v>
      </c>
      <c r="D75" s="3" t="s">
        <v>663</v>
      </c>
      <c r="E75" s="22" t="s">
        <v>100</v>
      </c>
      <c r="F75" s="3">
        <v>1</v>
      </c>
      <c r="G75" s="3" t="s">
        <v>226</v>
      </c>
      <c r="H75" s="5">
        <v>251374.99999999997</v>
      </c>
      <c r="I75" s="22" t="s">
        <v>679</v>
      </c>
      <c r="J75" s="5" t="s">
        <v>102</v>
      </c>
    </row>
    <row r="76" spans="1:10" ht="45">
      <c r="A76" s="19" t="s">
        <v>161</v>
      </c>
      <c r="B76" s="51" t="s">
        <v>664</v>
      </c>
      <c r="C76" s="54" t="s">
        <v>59</v>
      </c>
      <c r="D76" s="51" t="s">
        <v>665</v>
      </c>
      <c r="E76" s="51" t="s">
        <v>100</v>
      </c>
      <c r="F76" s="51">
        <v>1</v>
      </c>
      <c r="G76" s="51" t="s">
        <v>218</v>
      </c>
      <c r="H76" s="53">
        <f>178571.43+43750+19642.85</f>
        <v>241964.28</v>
      </c>
      <c r="I76" s="22" t="s">
        <v>679</v>
      </c>
      <c r="J76" s="5" t="s">
        <v>102</v>
      </c>
    </row>
    <row r="77" spans="1:10" ht="30">
      <c r="A77" s="19" t="s">
        <v>162</v>
      </c>
      <c r="B77" s="3" t="s">
        <v>666</v>
      </c>
      <c r="C77" s="4" t="s">
        <v>58</v>
      </c>
      <c r="D77" s="22" t="s">
        <v>666</v>
      </c>
      <c r="E77" s="22" t="s">
        <v>185</v>
      </c>
      <c r="F77" s="3">
        <v>2</v>
      </c>
      <c r="G77" s="6" t="s">
        <v>216</v>
      </c>
      <c r="H77" s="5">
        <v>309709.82</v>
      </c>
      <c r="I77" s="22" t="s">
        <v>679</v>
      </c>
      <c r="J77" s="5" t="s">
        <v>102</v>
      </c>
    </row>
    <row r="78" spans="1:10" ht="30">
      <c r="A78" s="19" t="s">
        <v>163</v>
      </c>
      <c r="B78" s="22" t="s">
        <v>666</v>
      </c>
      <c r="C78" s="4" t="s">
        <v>58</v>
      </c>
      <c r="D78" s="22" t="s">
        <v>666</v>
      </c>
      <c r="E78" s="22" t="s">
        <v>185</v>
      </c>
      <c r="F78" s="3">
        <v>3</v>
      </c>
      <c r="G78" s="3" t="s">
        <v>217</v>
      </c>
      <c r="H78" s="5">
        <v>464564.73</v>
      </c>
      <c r="I78" s="22" t="s">
        <v>679</v>
      </c>
      <c r="J78" s="5" t="s">
        <v>102</v>
      </c>
    </row>
    <row r="79" spans="1:10" ht="30">
      <c r="A79" s="19" t="s">
        <v>164</v>
      </c>
      <c r="B79" s="22" t="s">
        <v>666</v>
      </c>
      <c r="C79" s="4" t="s">
        <v>58</v>
      </c>
      <c r="D79" s="22" t="s">
        <v>666</v>
      </c>
      <c r="E79" s="22" t="s">
        <v>185</v>
      </c>
      <c r="F79" s="3">
        <v>4</v>
      </c>
      <c r="G79" s="3" t="s">
        <v>218</v>
      </c>
      <c r="H79" s="5">
        <v>619419.64</v>
      </c>
      <c r="I79" s="22" t="s">
        <v>679</v>
      </c>
      <c r="J79" s="5" t="s">
        <v>102</v>
      </c>
    </row>
    <row r="80" spans="1:10" ht="30">
      <c r="A80" s="19" t="s">
        <v>165</v>
      </c>
      <c r="B80" s="22" t="s">
        <v>666</v>
      </c>
      <c r="C80" s="4" t="s">
        <v>58</v>
      </c>
      <c r="D80" s="22" t="s">
        <v>666</v>
      </c>
      <c r="E80" s="22" t="s">
        <v>185</v>
      </c>
      <c r="F80" s="3">
        <v>6</v>
      </c>
      <c r="G80" s="3" t="s">
        <v>219</v>
      </c>
      <c r="H80" s="5">
        <v>929129.46</v>
      </c>
      <c r="I80" s="22" t="s">
        <v>679</v>
      </c>
      <c r="J80" s="5" t="s">
        <v>102</v>
      </c>
    </row>
    <row r="81" spans="1:10" ht="30">
      <c r="A81" s="19" t="s">
        <v>166</v>
      </c>
      <c r="B81" s="22" t="s">
        <v>666</v>
      </c>
      <c r="C81" s="4" t="s">
        <v>58</v>
      </c>
      <c r="D81" s="22" t="s">
        <v>666</v>
      </c>
      <c r="E81" s="22" t="s">
        <v>185</v>
      </c>
      <c r="F81" s="3">
        <v>2</v>
      </c>
      <c r="G81" s="3" t="s">
        <v>292</v>
      </c>
      <c r="H81" s="5">
        <v>309709.82</v>
      </c>
      <c r="I81" s="22" t="s">
        <v>679</v>
      </c>
      <c r="J81" s="5" t="s">
        <v>102</v>
      </c>
    </row>
    <row r="82" spans="1:10" ht="30">
      <c r="A82" s="19" t="s">
        <v>167</v>
      </c>
      <c r="B82" s="22" t="s">
        <v>666</v>
      </c>
      <c r="C82" s="4" t="s">
        <v>58</v>
      </c>
      <c r="D82" s="22" t="s">
        <v>666</v>
      </c>
      <c r="E82" s="22" t="s">
        <v>185</v>
      </c>
      <c r="F82" s="3">
        <v>2</v>
      </c>
      <c r="G82" s="3" t="s">
        <v>221</v>
      </c>
      <c r="H82" s="5">
        <v>309709.82</v>
      </c>
      <c r="I82" s="22" t="s">
        <v>679</v>
      </c>
      <c r="J82" s="5" t="s">
        <v>102</v>
      </c>
    </row>
    <row r="83" spans="1:10" ht="30">
      <c r="A83" s="19" t="s">
        <v>168</v>
      </c>
      <c r="B83" s="22" t="s">
        <v>666</v>
      </c>
      <c r="C83" s="4" t="s">
        <v>58</v>
      </c>
      <c r="D83" s="22" t="s">
        <v>666</v>
      </c>
      <c r="E83" s="22" t="s">
        <v>185</v>
      </c>
      <c r="F83" s="3">
        <v>1</v>
      </c>
      <c r="G83" s="3" t="s">
        <v>667</v>
      </c>
      <c r="H83" s="5">
        <v>154854.91</v>
      </c>
      <c r="I83" s="22" t="s">
        <v>679</v>
      </c>
      <c r="J83" s="5" t="s">
        <v>102</v>
      </c>
    </row>
    <row r="84" spans="1:10" ht="30">
      <c r="A84" s="19" t="s">
        <v>169</v>
      </c>
      <c r="B84" s="22" t="s">
        <v>666</v>
      </c>
      <c r="C84" s="4" t="s">
        <v>58</v>
      </c>
      <c r="D84" s="22" t="s">
        <v>666</v>
      </c>
      <c r="E84" s="22" t="s">
        <v>185</v>
      </c>
      <c r="F84" s="3">
        <v>2</v>
      </c>
      <c r="G84" s="3" t="s">
        <v>225</v>
      </c>
      <c r="H84" s="5">
        <v>309709.82</v>
      </c>
      <c r="I84" s="22" t="s">
        <v>679</v>
      </c>
      <c r="J84" s="5" t="s">
        <v>102</v>
      </c>
    </row>
    <row r="85" spans="1:10" ht="30">
      <c r="A85" s="19" t="s">
        <v>170</v>
      </c>
      <c r="B85" s="22" t="s">
        <v>666</v>
      </c>
      <c r="C85" s="4" t="s">
        <v>58</v>
      </c>
      <c r="D85" s="22" t="s">
        <v>666</v>
      </c>
      <c r="E85" s="22" t="s">
        <v>185</v>
      </c>
      <c r="F85" s="3">
        <v>3</v>
      </c>
      <c r="G85" s="3" t="s">
        <v>227</v>
      </c>
      <c r="H85" s="5">
        <v>464564.73</v>
      </c>
      <c r="I85" s="22" t="s">
        <v>679</v>
      </c>
      <c r="J85" s="5" t="s">
        <v>102</v>
      </c>
    </row>
    <row r="86" spans="1:10" ht="30">
      <c r="A86" s="19" t="s">
        <v>171</v>
      </c>
      <c r="B86" s="22" t="s">
        <v>666</v>
      </c>
      <c r="C86" s="4" t="s">
        <v>58</v>
      </c>
      <c r="D86" s="22" t="s">
        <v>666</v>
      </c>
      <c r="E86" s="22" t="s">
        <v>185</v>
      </c>
      <c r="F86" s="3">
        <v>1</v>
      </c>
      <c r="G86" s="3" t="s">
        <v>229</v>
      </c>
      <c r="H86" s="5">
        <v>154854.91</v>
      </c>
      <c r="I86" s="22" t="s">
        <v>679</v>
      </c>
      <c r="J86" s="5" t="s">
        <v>102</v>
      </c>
    </row>
    <row r="87" spans="1:10" ht="30">
      <c r="A87" s="19" t="s">
        <v>172</v>
      </c>
      <c r="B87" s="22" t="s">
        <v>666</v>
      </c>
      <c r="C87" s="4" t="s">
        <v>58</v>
      </c>
      <c r="D87" s="22" t="s">
        <v>666</v>
      </c>
      <c r="E87" s="22" t="s">
        <v>185</v>
      </c>
      <c r="F87" s="3">
        <v>3</v>
      </c>
      <c r="G87" s="3" t="s">
        <v>230</v>
      </c>
      <c r="H87" s="5">
        <v>464564.73</v>
      </c>
      <c r="I87" s="22" t="s">
        <v>679</v>
      </c>
      <c r="J87" s="5" t="s">
        <v>102</v>
      </c>
    </row>
    <row r="88" spans="1:10" ht="30">
      <c r="A88" s="19" t="s">
        <v>173</v>
      </c>
      <c r="B88" s="22" t="s">
        <v>666</v>
      </c>
      <c r="C88" s="4" t="s">
        <v>58</v>
      </c>
      <c r="D88" s="22" t="s">
        <v>666</v>
      </c>
      <c r="E88" s="22" t="s">
        <v>185</v>
      </c>
      <c r="F88" s="3">
        <v>3</v>
      </c>
      <c r="G88" s="3" t="s">
        <v>232</v>
      </c>
      <c r="H88" s="5">
        <v>464564.73</v>
      </c>
      <c r="I88" s="22" t="s">
        <v>679</v>
      </c>
      <c r="J88" s="5" t="s">
        <v>102</v>
      </c>
    </row>
    <row r="89" spans="1:10" ht="30">
      <c r="A89" s="19" t="s">
        <v>174</v>
      </c>
      <c r="B89" s="3" t="s">
        <v>668</v>
      </c>
      <c r="C89" s="4" t="s">
        <v>58</v>
      </c>
      <c r="D89" s="22" t="s">
        <v>668</v>
      </c>
      <c r="E89" s="3" t="s">
        <v>586</v>
      </c>
      <c r="F89" s="3">
        <v>1</v>
      </c>
      <c r="G89" s="3" t="s">
        <v>292</v>
      </c>
      <c r="H89" s="5">
        <v>1584276.7857142854</v>
      </c>
      <c r="I89" s="22" t="s">
        <v>679</v>
      </c>
      <c r="J89" s="5" t="s">
        <v>102</v>
      </c>
    </row>
    <row r="90" spans="1:10" ht="30">
      <c r="A90" s="19" t="s">
        <v>175</v>
      </c>
      <c r="B90" s="22" t="s">
        <v>668</v>
      </c>
      <c r="C90" s="4" t="s">
        <v>58</v>
      </c>
      <c r="D90" s="22" t="s">
        <v>668</v>
      </c>
      <c r="E90" s="22" t="s">
        <v>586</v>
      </c>
      <c r="F90" s="22">
        <v>1</v>
      </c>
      <c r="G90" s="3" t="s">
        <v>221</v>
      </c>
      <c r="H90" s="5">
        <v>3801915.1785714282</v>
      </c>
      <c r="I90" s="22" t="s">
        <v>679</v>
      </c>
      <c r="J90" s="5" t="s">
        <v>102</v>
      </c>
    </row>
    <row r="91" spans="1:10" ht="30">
      <c r="A91" s="19" t="s">
        <v>176</v>
      </c>
      <c r="B91" s="22" t="s">
        <v>668</v>
      </c>
      <c r="C91" s="4" t="s">
        <v>58</v>
      </c>
      <c r="D91" s="22" t="s">
        <v>668</v>
      </c>
      <c r="E91" s="22" t="s">
        <v>586</v>
      </c>
      <c r="F91" s="22">
        <v>1</v>
      </c>
      <c r="G91" s="3" t="s">
        <v>227</v>
      </c>
      <c r="H91" s="5">
        <v>1761133.0357142854</v>
      </c>
      <c r="I91" s="22" t="s">
        <v>679</v>
      </c>
      <c r="J91" s="5" t="s">
        <v>102</v>
      </c>
    </row>
    <row r="92" spans="1:10" ht="45">
      <c r="A92" s="48" t="s">
        <v>3361</v>
      </c>
      <c r="B92" s="22" t="s">
        <v>3362</v>
      </c>
      <c r="C92" s="4" t="s">
        <v>58</v>
      </c>
      <c r="D92" s="22" t="s">
        <v>3363</v>
      </c>
      <c r="E92" s="22" t="s">
        <v>100</v>
      </c>
      <c r="F92" s="22">
        <v>5</v>
      </c>
      <c r="G92" s="22" t="s">
        <v>233</v>
      </c>
      <c r="H92" s="5">
        <v>555803.56999999995</v>
      </c>
      <c r="I92" s="22" t="s">
        <v>680</v>
      </c>
      <c r="J92" s="5" t="s">
        <v>102</v>
      </c>
    </row>
    <row r="93" spans="1:10" ht="60">
      <c r="A93" s="48" t="s">
        <v>3364</v>
      </c>
      <c r="B93" s="22" t="s">
        <v>3362</v>
      </c>
      <c r="C93" s="4" t="s">
        <v>58</v>
      </c>
      <c r="D93" s="22" t="s">
        <v>3363</v>
      </c>
      <c r="E93" s="22" t="s">
        <v>100</v>
      </c>
      <c r="F93" s="22">
        <v>4</v>
      </c>
      <c r="G93" s="22" t="s">
        <v>222</v>
      </c>
      <c r="H93" s="5">
        <v>444642.86</v>
      </c>
      <c r="I93" s="22" t="s">
        <v>680</v>
      </c>
      <c r="J93" s="5" t="s">
        <v>102</v>
      </c>
    </row>
    <row r="94" spans="1:10" ht="45">
      <c r="A94" s="48" t="s">
        <v>3365</v>
      </c>
      <c r="B94" s="22" t="s">
        <v>3362</v>
      </c>
      <c r="C94" s="4" t="s">
        <v>58</v>
      </c>
      <c r="D94" s="22" t="s">
        <v>3363</v>
      </c>
      <c r="E94" s="22" t="s">
        <v>100</v>
      </c>
      <c r="F94" s="22">
        <v>4</v>
      </c>
      <c r="G94" s="22" t="s">
        <v>229</v>
      </c>
      <c r="H94" s="5">
        <v>444642.86</v>
      </c>
      <c r="I94" s="22" t="s">
        <v>680</v>
      </c>
      <c r="J94" s="5" t="s">
        <v>102</v>
      </c>
    </row>
    <row r="95" spans="1:10" ht="45">
      <c r="A95" s="48" t="s">
        <v>3366</v>
      </c>
      <c r="B95" s="22" t="s">
        <v>3362</v>
      </c>
      <c r="C95" s="4" t="s">
        <v>58</v>
      </c>
      <c r="D95" s="22" t="s">
        <v>3363</v>
      </c>
      <c r="E95" s="22" t="s">
        <v>100</v>
      </c>
      <c r="F95" s="22">
        <v>3</v>
      </c>
      <c r="G95" s="6" t="s">
        <v>649</v>
      </c>
      <c r="H95" s="5">
        <v>333482.14</v>
      </c>
      <c r="I95" s="22" t="s">
        <v>680</v>
      </c>
      <c r="J95" s="5" t="s">
        <v>102</v>
      </c>
    </row>
    <row r="96" spans="1:10">
      <c r="A96" s="19" t="s">
        <v>178</v>
      </c>
      <c r="B96" s="12" t="s">
        <v>177</v>
      </c>
      <c r="C96" s="4" t="s">
        <v>578</v>
      </c>
      <c r="D96" s="4" t="s">
        <v>578</v>
      </c>
      <c r="E96" s="4" t="s">
        <v>578</v>
      </c>
      <c r="F96" s="4" t="s">
        <v>578</v>
      </c>
      <c r="G96" s="4" t="s">
        <v>101</v>
      </c>
      <c r="H96" s="13">
        <f>SUM(H97:H103)</f>
        <v>1692196.4271428569</v>
      </c>
      <c r="I96" s="3" t="s">
        <v>578</v>
      </c>
      <c r="J96" s="5" t="s">
        <v>102</v>
      </c>
    </row>
    <row r="97" spans="1:10" ht="45">
      <c r="A97" s="19" t="s">
        <v>181</v>
      </c>
      <c r="B97" s="3" t="s">
        <v>669</v>
      </c>
      <c r="C97" s="4" t="s">
        <v>58</v>
      </c>
      <c r="D97" s="3" t="s">
        <v>674</v>
      </c>
      <c r="E97" s="22" t="s">
        <v>100</v>
      </c>
      <c r="F97" s="3">
        <v>42</v>
      </c>
      <c r="G97" s="4" t="s">
        <v>101</v>
      </c>
      <c r="H97" s="5">
        <f>777375-139910.71-66071.43</f>
        <v>571392.8600000001</v>
      </c>
      <c r="I97" s="22" t="s">
        <v>681</v>
      </c>
      <c r="J97" s="5" t="s">
        <v>102</v>
      </c>
    </row>
    <row r="98" spans="1:10" ht="75">
      <c r="A98" s="19" t="s">
        <v>182</v>
      </c>
      <c r="B98" s="3" t="s">
        <v>670</v>
      </c>
      <c r="C98" s="4" t="s">
        <v>58</v>
      </c>
      <c r="D98" s="3" t="s">
        <v>675</v>
      </c>
      <c r="E98" s="22" t="s">
        <v>100</v>
      </c>
      <c r="F98" s="3">
        <v>8</v>
      </c>
      <c r="G98" s="4" t="s">
        <v>101</v>
      </c>
      <c r="H98" s="5">
        <v>428571.42857142852</v>
      </c>
      <c r="I98" s="22" t="s">
        <v>681</v>
      </c>
      <c r="J98" s="5" t="s">
        <v>102</v>
      </c>
    </row>
    <row r="99" spans="1:10" ht="135">
      <c r="A99" s="19" t="s">
        <v>183</v>
      </c>
      <c r="B99" s="3" t="s">
        <v>671</v>
      </c>
      <c r="C99" s="4" t="s">
        <v>58</v>
      </c>
      <c r="D99" s="3" t="s">
        <v>672</v>
      </c>
      <c r="E99" s="22" t="s">
        <v>100</v>
      </c>
      <c r="F99" s="3">
        <v>8</v>
      </c>
      <c r="G99" s="4" t="s">
        <v>101</v>
      </c>
      <c r="H99" s="5">
        <v>23571.428571428569</v>
      </c>
      <c r="I99" s="22" t="s">
        <v>681</v>
      </c>
      <c r="J99" s="5" t="s">
        <v>102</v>
      </c>
    </row>
    <row r="100" spans="1:10" ht="165">
      <c r="A100" s="19" t="s">
        <v>184</v>
      </c>
      <c r="B100" s="3" t="s">
        <v>1948</v>
      </c>
      <c r="C100" s="4" t="s">
        <v>58</v>
      </c>
      <c r="D100" s="3" t="s">
        <v>673</v>
      </c>
      <c r="E100" s="22" t="s">
        <v>100</v>
      </c>
      <c r="F100" s="3">
        <v>10</v>
      </c>
      <c r="G100" s="4" t="s">
        <v>101</v>
      </c>
      <c r="H100" s="5">
        <f>284107.14-108035.71</f>
        <v>176071.43</v>
      </c>
      <c r="I100" s="22" t="s">
        <v>681</v>
      </c>
      <c r="J100" s="5" t="s">
        <v>102</v>
      </c>
    </row>
    <row r="101" spans="1:10" ht="75">
      <c r="A101" s="27" t="s">
        <v>3167</v>
      </c>
      <c r="B101" s="22" t="s">
        <v>3168</v>
      </c>
      <c r="C101" s="22" t="s">
        <v>60</v>
      </c>
      <c r="D101" s="22" t="s">
        <v>3169</v>
      </c>
      <c r="E101" s="22" t="s">
        <v>100</v>
      </c>
      <c r="F101" s="22">
        <v>1</v>
      </c>
      <c r="G101" s="4" t="s">
        <v>101</v>
      </c>
      <c r="H101" s="5">
        <v>139910.71</v>
      </c>
      <c r="I101" s="22" t="s">
        <v>678</v>
      </c>
      <c r="J101" s="5" t="s">
        <v>102</v>
      </c>
    </row>
    <row r="102" spans="1:10" ht="30">
      <c r="A102" s="27" t="s">
        <v>3177</v>
      </c>
      <c r="B102" s="22" t="s">
        <v>3178</v>
      </c>
      <c r="C102" s="4" t="s">
        <v>60</v>
      </c>
      <c r="D102" s="22" t="s">
        <v>3178</v>
      </c>
      <c r="E102" s="22" t="s">
        <v>100</v>
      </c>
      <c r="F102" s="22">
        <v>1</v>
      </c>
      <c r="G102" s="4" t="s">
        <v>101</v>
      </c>
      <c r="H102" s="5">
        <v>174107.14</v>
      </c>
      <c r="I102" s="22" t="s">
        <v>678</v>
      </c>
      <c r="J102" s="5" t="s">
        <v>102</v>
      </c>
    </row>
    <row r="103" spans="1:10" ht="60">
      <c r="A103" s="19" t="s">
        <v>3238</v>
      </c>
      <c r="B103" s="22" t="s">
        <v>3239</v>
      </c>
      <c r="C103" s="4" t="s">
        <v>60</v>
      </c>
      <c r="D103" s="22" t="s">
        <v>3240</v>
      </c>
      <c r="E103" s="22" t="s">
        <v>100</v>
      </c>
      <c r="F103" s="22">
        <v>1</v>
      </c>
      <c r="G103" s="4" t="s">
        <v>101</v>
      </c>
      <c r="H103" s="5">
        <v>178571.43</v>
      </c>
      <c r="I103" s="22" t="s">
        <v>679</v>
      </c>
      <c r="J103" s="5" t="s">
        <v>102</v>
      </c>
    </row>
    <row r="104" spans="1:10">
      <c r="A104" s="19" t="s">
        <v>186</v>
      </c>
      <c r="B104" s="12" t="s">
        <v>180</v>
      </c>
      <c r="C104" s="4" t="s">
        <v>578</v>
      </c>
      <c r="D104" s="4" t="s">
        <v>578</v>
      </c>
      <c r="E104" s="4" t="s">
        <v>578</v>
      </c>
      <c r="F104" s="4" t="s">
        <v>578</v>
      </c>
      <c r="G104" s="3" t="s">
        <v>125</v>
      </c>
      <c r="H104" s="13">
        <f>SUM(H105:H119)</f>
        <v>83035.714285714275</v>
      </c>
      <c r="I104" s="3" t="s">
        <v>578</v>
      </c>
      <c r="J104" s="5" t="s">
        <v>102</v>
      </c>
    </row>
    <row r="105" spans="1:10" ht="30">
      <c r="A105" s="19" t="s">
        <v>187</v>
      </c>
      <c r="B105" s="3" t="s">
        <v>676</v>
      </c>
      <c r="C105" s="4" t="s">
        <v>58</v>
      </c>
      <c r="D105" s="3" t="s">
        <v>677</v>
      </c>
      <c r="E105" s="22" t="s">
        <v>100</v>
      </c>
      <c r="F105" s="3">
        <v>1</v>
      </c>
      <c r="G105" s="3" t="s">
        <v>211</v>
      </c>
      <c r="H105" s="5">
        <v>5535.7142857142853</v>
      </c>
      <c r="I105" s="22" t="s">
        <v>678</v>
      </c>
      <c r="J105" s="5" t="s">
        <v>102</v>
      </c>
    </row>
    <row r="106" spans="1:10" ht="30">
      <c r="A106" s="19" t="s">
        <v>188</v>
      </c>
      <c r="B106" s="22" t="s">
        <v>676</v>
      </c>
      <c r="C106" s="4" t="s">
        <v>58</v>
      </c>
      <c r="D106" s="22" t="s">
        <v>677</v>
      </c>
      <c r="E106" s="22" t="s">
        <v>100</v>
      </c>
      <c r="F106" s="22">
        <v>1</v>
      </c>
      <c r="G106" s="3" t="s">
        <v>216</v>
      </c>
      <c r="H106" s="5">
        <v>5535.7142857142853</v>
      </c>
      <c r="I106" s="22" t="s">
        <v>678</v>
      </c>
      <c r="J106" s="5" t="s">
        <v>102</v>
      </c>
    </row>
    <row r="107" spans="1:10" ht="30">
      <c r="A107" s="19" t="s">
        <v>189</v>
      </c>
      <c r="B107" s="22" t="s">
        <v>676</v>
      </c>
      <c r="C107" s="4" t="s">
        <v>58</v>
      </c>
      <c r="D107" s="22" t="s">
        <v>677</v>
      </c>
      <c r="E107" s="22" t="s">
        <v>100</v>
      </c>
      <c r="F107" s="22">
        <v>1</v>
      </c>
      <c r="G107" s="3" t="s">
        <v>217</v>
      </c>
      <c r="H107" s="5">
        <v>5535.7142857142853</v>
      </c>
      <c r="I107" s="22" t="s">
        <v>678</v>
      </c>
      <c r="J107" s="5" t="s">
        <v>102</v>
      </c>
    </row>
    <row r="108" spans="1:10" ht="30">
      <c r="A108" s="19" t="s">
        <v>190</v>
      </c>
      <c r="B108" s="22" t="s">
        <v>676</v>
      </c>
      <c r="C108" s="4" t="s">
        <v>58</v>
      </c>
      <c r="D108" s="22" t="s">
        <v>677</v>
      </c>
      <c r="E108" s="22" t="s">
        <v>100</v>
      </c>
      <c r="F108" s="22">
        <v>1</v>
      </c>
      <c r="G108" s="6" t="s">
        <v>218</v>
      </c>
      <c r="H108" s="5">
        <v>5535.7142857142853</v>
      </c>
      <c r="I108" s="22" t="s">
        <v>678</v>
      </c>
      <c r="J108" s="5" t="s">
        <v>102</v>
      </c>
    </row>
    <row r="109" spans="1:10" ht="30">
      <c r="A109" s="19" t="s">
        <v>191</v>
      </c>
      <c r="B109" s="22" t="s">
        <v>676</v>
      </c>
      <c r="C109" s="4" t="s">
        <v>58</v>
      </c>
      <c r="D109" s="22" t="s">
        <v>677</v>
      </c>
      <c r="E109" s="22" t="s">
        <v>100</v>
      </c>
      <c r="F109" s="22">
        <v>1</v>
      </c>
      <c r="G109" s="3" t="s">
        <v>219</v>
      </c>
      <c r="H109" s="5">
        <v>5535.7142857142853</v>
      </c>
      <c r="I109" s="22" t="s">
        <v>678</v>
      </c>
      <c r="J109" s="5" t="s">
        <v>102</v>
      </c>
    </row>
    <row r="110" spans="1:10" ht="30">
      <c r="A110" s="19" t="s">
        <v>192</v>
      </c>
      <c r="B110" s="22" t="s">
        <v>676</v>
      </c>
      <c r="C110" s="4" t="s">
        <v>58</v>
      </c>
      <c r="D110" s="22" t="s">
        <v>677</v>
      </c>
      <c r="E110" s="22" t="s">
        <v>100</v>
      </c>
      <c r="F110" s="22">
        <v>1</v>
      </c>
      <c r="G110" s="3" t="s">
        <v>292</v>
      </c>
      <c r="H110" s="5">
        <v>5535.7142857142853</v>
      </c>
      <c r="I110" s="22" t="s">
        <v>678</v>
      </c>
      <c r="J110" s="5" t="s">
        <v>102</v>
      </c>
    </row>
    <row r="111" spans="1:10" ht="30">
      <c r="A111" s="19" t="s">
        <v>193</v>
      </c>
      <c r="B111" s="22" t="s">
        <v>676</v>
      </c>
      <c r="C111" s="4" t="s">
        <v>58</v>
      </c>
      <c r="D111" s="22" t="s">
        <v>677</v>
      </c>
      <c r="E111" s="22" t="s">
        <v>100</v>
      </c>
      <c r="F111" s="22">
        <v>1</v>
      </c>
      <c r="G111" s="3" t="s">
        <v>221</v>
      </c>
      <c r="H111" s="5">
        <v>5535.7142857142853</v>
      </c>
      <c r="I111" s="22" t="s">
        <v>678</v>
      </c>
      <c r="J111" s="5" t="s">
        <v>102</v>
      </c>
    </row>
    <row r="112" spans="1:10" ht="30">
      <c r="A112" s="19" t="s">
        <v>194</v>
      </c>
      <c r="B112" s="22" t="s">
        <v>676</v>
      </c>
      <c r="C112" s="4" t="s">
        <v>58</v>
      </c>
      <c r="D112" s="22" t="s">
        <v>677</v>
      </c>
      <c r="E112" s="22" t="s">
        <v>100</v>
      </c>
      <c r="F112" s="22">
        <v>1</v>
      </c>
      <c r="G112" s="3" t="s">
        <v>223</v>
      </c>
      <c r="H112" s="5">
        <v>5535.7142857142853</v>
      </c>
      <c r="I112" s="22" t="s">
        <v>678</v>
      </c>
      <c r="J112" s="5" t="s">
        <v>102</v>
      </c>
    </row>
    <row r="113" spans="1:10" ht="30">
      <c r="A113" s="19" t="s">
        <v>195</v>
      </c>
      <c r="B113" s="22" t="s">
        <v>676</v>
      </c>
      <c r="C113" s="4" t="s">
        <v>58</v>
      </c>
      <c r="D113" s="22" t="s">
        <v>677</v>
      </c>
      <c r="E113" s="22" t="s">
        <v>100</v>
      </c>
      <c r="F113" s="22">
        <v>1</v>
      </c>
      <c r="G113" s="3" t="s">
        <v>225</v>
      </c>
      <c r="H113" s="5">
        <v>5535.7142857142853</v>
      </c>
      <c r="I113" s="22" t="s">
        <v>678</v>
      </c>
      <c r="J113" s="5" t="s">
        <v>102</v>
      </c>
    </row>
    <row r="114" spans="1:10" ht="30">
      <c r="A114" s="19" t="s">
        <v>196</v>
      </c>
      <c r="B114" s="22" t="s">
        <v>676</v>
      </c>
      <c r="C114" s="4" t="s">
        <v>58</v>
      </c>
      <c r="D114" s="22" t="s">
        <v>677</v>
      </c>
      <c r="E114" s="22" t="s">
        <v>100</v>
      </c>
      <c r="F114" s="22">
        <v>1</v>
      </c>
      <c r="G114" s="3" t="s">
        <v>226</v>
      </c>
      <c r="H114" s="5">
        <v>5535.7142857142853</v>
      </c>
      <c r="I114" s="22" t="s">
        <v>678</v>
      </c>
      <c r="J114" s="5" t="s">
        <v>102</v>
      </c>
    </row>
    <row r="115" spans="1:10" ht="30">
      <c r="A115" s="19" t="s">
        <v>197</v>
      </c>
      <c r="B115" s="22" t="s">
        <v>676</v>
      </c>
      <c r="C115" s="4" t="s">
        <v>58</v>
      </c>
      <c r="D115" s="22" t="s">
        <v>677</v>
      </c>
      <c r="E115" s="22" t="s">
        <v>100</v>
      </c>
      <c r="F115" s="22">
        <v>1</v>
      </c>
      <c r="G115" s="3" t="s">
        <v>227</v>
      </c>
      <c r="H115" s="5">
        <v>5535.7142857142853</v>
      </c>
      <c r="I115" s="22" t="s">
        <v>678</v>
      </c>
      <c r="J115" s="5" t="s">
        <v>102</v>
      </c>
    </row>
    <row r="116" spans="1:10" ht="30">
      <c r="A116" s="19" t="s">
        <v>198</v>
      </c>
      <c r="B116" s="22" t="s">
        <v>676</v>
      </c>
      <c r="C116" s="4" t="s">
        <v>58</v>
      </c>
      <c r="D116" s="22" t="s">
        <v>677</v>
      </c>
      <c r="E116" s="22" t="s">
        <v>100</v>
      </c>
      <c r="F116" s="22">
        <v>1</v>
      </c>
      <c r="G116" s="3" t="s">
        <v>228</v>
      </c>
      <c r="H116" s="5">
        <v>5535.7142857142853</v>
      </c>
      <c r="I116" s="22" t="s">
        <v>678</v>
      </c>
      <c r="J116" s="5" t="s">
        <v>102</v>
      </c>
    </row>
    <row r="117" spans="1:10" ht="30">
      <c r="A117" s="19" t="s">
        <v>199</v>
      </c>
      <c r="B117" s="22" t="s">
        <v>676</v>
      </c>
      <c r="C117" s="4" t="s">
        <v>58</v>
      </c>
      <c r="D117" s="22" t="s">
        <v>677</v>
      </c>
      <c r="E117" s="22" t="s">
        <v>100</v>
      </c>
      <c r="F117" s="22">
        <v>1</v>
      </c>
      <c r="G117" s="3" t="s">
        <v>229</v>
      </c>
      <c r="H117" s="5">
        <v>5535.7142857142853</v>
      </c>
      <c r="I117" s="22" t="s">
        <v>678</v>
      </c>
      <c r="J117" s="5" t="s">
        <v>102</v>
      </c>
    </row>
    <row r="118" spans="1:10" ht="30">
      <c r="A118" s="19" t="s">
        <v>200</v>
      </c>
      <c r="B118" s="22" t="s">
        <v>676</v>
      </c>
      <c r="C118" s="4" t="s">
        <v>58</v>
      </c>
      <c r="D118" s="22" t="s">
        <v>677</v>
      </c>
      <c r="E118" s="22" t="s">
        <v>100</v>
      </c>
      <c r="F118" s="22">
        <v>1</v>
      </c>
      <c r="G118" s="3" t="s">
        <v>230</v>
      </c>
      <c r="H118" s="5">
        <v>5535.7142857142853</v>
      </c>
      <c r="I118" s="22" t="s">
        <v>678</v>
      </c>
      <c r="J118" s="5" t="s">
        <v>102</v>
      </c>
    </row>
    <row r="119" spans="1:10" ht="30">
      <c r="A119" s="19" t="s">
        <v>201</v>
      </c>
      <c r="B119" s="22" t="s">
        <v>676</v>
      </c>
      <c r="C119" s="4" t="s">
        <v>58</v>
      </c>
      <c r="D119" s="22" t="s">
        <v>677</v>
      </c>
      <c r="E119" s="22" t="s">
        <v>100</v>
      </c>
      <c r="F119" s="22">
        <v>1</v>
      </c>
      <c r="G119" s="3" t="s">
        <v>232</v>
      </c>
      <c r="H119" s="5">
        <v>5535.7142857142853</v>
      </c>
      <c r="I119" s="22" t="s">
        <v>678</v>
      </c>
      <c r="J119" s="5" t="s">
        <v>102</v>
      </c>
    </row>
    <row r="120" spans="1:10">
      <c r="A120" s="19" t="s">
        <v>444</v>
      </c>
      <c r="B120" s="12" t="s">
        <v>202</v>
      </c>
      <c r="C120" s="4" t="s">
        <v>578</v>
      </c>
      <c r="D120" s="4" t="s">
        <v>578</v>
      </c>
      <c r="E120" s="4" t="s">
        <v>578</v>
      </c>
      <c r="F120" s="4" t="s">
        <v>578</v>
      </c>
      <c r="G120" s="4" t="s">
        <v>101</v>
      </c>
      <c r="H120" s="13">
        <f>SUM(H121:H128)</f>
        <v>56968781.210000001</v>
      </c>
      <c r="I120" s="3" t="s">
        <v>578</v>
      </c>
      <c r="J120" s="5" t="s">
        <v>102</v>
      </c>
    </row>
    <row r="121" spans="1:10" ht="30">
      <c r="A121" s="19" t="s">
        <v>445</v>
      </c>
      <c r="B121" s="3" t="s">
        <v>203</v>
      </c>
      <c r="C121" s="3" t="s">
        <v>58</v>
      </c>
      <c r="D121" s="3" t="s">
        <v>682</v>
      </c>
      <c r="E121" s="3" t="s">
        <v>204</v>
      </c>
      <c r="F121" s="14">
        <f>24960+17472</f>
        <v>42432</v>
      </c>
      <c r="G121" s="3" t="s">
        <v>101</v>
      </c>
      <c r="H121" s="5">
        <v>4915880.3600000003</v>
      </c>
      <c r="I121" s="22" t="s">
        <v>681</v>
      </c>
      <c r="J121" s="5" t="s">
        <v>102</v>
      </c>
    </row>
    <row r="122" spans="1:10" ht="30">
      <c r="A122" s="19" t="s">
        <v>446</v>
      </c>
      <c r="B122" s="3" t="s">
        <v>203</v>
      </c>
      <c r="C122" s="3" t="s">
        <v>58</v>
      </c>
      <c r="D122" s="3" t="s">
        <v>683</v>
      </c>
      <c r="E122" s="3" t="s">
        <v>204</v>
      </c>
      <c r="F122" s="14">
        <v>4009</v>
      </c>
      <c r="G122" s="3" t="s">
        <v>101</v>
      </c>
      <c r="H122" s="5">
        <f>483251.79-483251.79</f>
        <v>0</v>
      </c>
      <c r="I122" s="22" t="s">
        <v>681</v>
      </c>
      <c r="J122" s="5" t="s">
        <v>102</v>
      </c>
    </row>
    <row r="123" spans="1:10" ht="30">
      <c r="A123" s="19" t="s">
        <v>447</v>
      </c>
      <c r="B123" s="3" t="s">
        <v>203</v>
      </c>
      <c r="C123" s="3" t="s">
        <v>58</v>
      </c>
      <c r="D123" s="3" t="s">
        <v>207</v>
      </c>
      <c r="E123" s="3" t="s">
        <v>204</v>
      </c>
      <c r="F123" s="14">
        <v>165735</v>
      </c>
      <c r="G123" s="3" t="s">
        <v>125</v>
      </c>
      <c r="H123" s="5">
        <f>17327064-258828.57</f>
        <v>17068235.43</v>
      </c>
      <c r="I123" s="22" t="s">
        <v>681</v>
      </c>
      <c r="J123" s="5" t="s">
        <v>102</v>
      </c>
    </row>
    <row r="124" spans="1:10" ht="30">
      <c r="A124" s="19" t="s">
        <v>448</v>
      </c>
      <c r="B124" s="3" t="s">
        <v>203</v>
      </c>
      <c r="C124" s="3" t="s">
        <v>58</v>
      </c>
      <c r="D124" s="3" t="s">
        <v>208</v>
      </c>
      <c r="E124" s="3" t="s">
        <v>204</v>
      </c>
      <c r="F124" s="14">
        <v>208089</v>
      </c>
      <c r="G124" s="3" t="s">
        <v>125</v>
      </c>
      <c r="H124" s="5">
        <f>27399718-131994.65</f>
        <v>27267723.350000001</v>
      </c>
      <c r="I124" s="22" t="s">
        <v>681</v>
      </c>
      <c r="J124" s="5" t="s">
        <v>102</v>
      </c>
    </row>
    <row r="125" spans="1:10" ht="30">
      <c r="A125" s="19" t="s">
        <v>449</v>
      </c>
      <c r="B125" s="3" t="s">
        <v>33</v>
      </c>
      <c r="C125" s="3" t="s">
        <v>58</v>
      </c>
      <c r="D125" s="3" t="s">
        <v>205</v>
      </c>
      <c r="E125" s="3" t="s">
        <v>204</v>
      </c>
      <c r="F125" s="14">
        <v>5148</v>
      </c>
      <c r="G125" s="3" t="s">
        <v>101</v>
      </c>
      <c r="H125" s="5">
        <f>537782.14-48668.75</f>
        <v>489113.39</v>
      </c>
      <c r="I125" s="22" t="s">
        <v>681</v>
      </c>
      <c r="J125" s="5" t="s">
        <v>102</v>
      </c>
    </row>
    <row r="126" spans="1:10" ht="30">
      <c r="A126" s="19" t="s">
        <v>450</v>
      </c>
      <c r="B126" s="3" t="s">
        <v>33</v>
      </c>
      <c r="C126" s="3" t="s">
        <v>58</v>
      </c>
      <c r="D126" s="3" t="s">
        <v>206</v>
      </c>
      <c r="E126" s="3" t="s">
        <v>204</v>
      </c>
      <c r="F126" s="14">
        <v>6053</v>
      </c>
      <c r="G126" s="3" t="s">
        <v>101</v>
      </c>
      <c r="H126" s="5">
        <v>913354.46</v>
      </c>
      <c r="I126" s="22" t="s">
        <v>681</v>
      </c>
      <c r="J126" s="5" t="s">
        <v>102</v>
      </c>
    </row>
    <row r="127" spans="1:10" ht="30">
      <c r="A127" s="19" t="s">
        <v>451</v>
      </c>
      <c r="B127" s="3" t="s">
        <v>33</v>
      </c>
      <c r="C127" s="3" t="s">
        <v>58</v>
      </c>
      <c r="D127" s="3" t="s">
        <v>205</v>
      </c>
      <c r="E127" s="3" t="s">
        <v>204</v>
      </c>
      <c r="F127" s="14">
        <v>23214</v>
      </c>
      <c r="G127" s="3" t="s">
        <v>125</v>
      </c>
      <c r="H127" s="5">
        <f>2406372+131994.65</f>
        <v>2538366.65</v>
      </c>
      <c r="I127" s="22" t="s">
        <v>681</v>
      </c>
      <c r="J127" s="5" t="s">
        <v>102</v>
      </c>
    </row>
    <row r="128" spans="1:10" ht="30">
      <c r="A128" s="19" t="s">
        <v>452</v>
      </c>
      <c r="B128" s="3" t="s">
        <v>33</v>
      </c>
      <c r="C128" s="3" t="s">
        <v>58</v>
      </c>
      <c r="D128" s="3" t="s">
        <v>206</v>
      </c>
      <c r="E128" s="3" t="s">
        <v>204</v>
      </c>
      <c r="F128" s="3">
        <v>29339</v>
      </c>
      <c r="G128" s="3" t="s">
        <v>125</v>
      </c>
      <c r="H128" s="5">
        <f>3517279+258828.57</f>
        <v>3776107.57</v>
      </c>
      <c r="I128" s="22" t="s">
        <v>681</v>
      </c>
      <c r="J128" s="5" t="s">
        <v>102</v>
      </c>
    </row>
    <row r="129" spans="1:10" ht="28.5">
      <c r="A129" s="19" t="s">
        <v>453</v>
      </c>
      <c r="B129" s="12" t="s">
        <v>594</v>
      </c>
      <c r="C129" s="4" t="s">
        <v>578</v>
      </c>
      <c r="D129" s="4" t="s">
        <v>578</v>
      </c>
      <c r="E129" s="4" t="s">
        <v>578</v>
      </c>
      <c r="F129" s="4" t="s">
        <v>578</v>
      </c>
      <c r="G129" s="4" t="s">
        <v>101</v>
      </c>
      <c r="H129" s="13">
        <f>SUM(H130:H138)</f>
        <v>4140930</v>
      </c>
      <c r="I129" s="3" t="s">
        <v>578</v>
      </c>
      <c r="J129" s="5" t="s">
        <v>102</v>
      </c>
    </row>
    <row r="130" spans="1:10" ht="30">
      <c r="A130" s="19" t="s">
        <v>454</v>
      </c>
      <c r="B130" s="3" t="s">
        <v>210</v>
      </c>
      <c r="C130" s="3" t="s">
        <v>60</v>
      </c>
      <c r="D130" s="3" t="s">
        <v>684</v>
      </c>
      <c r="E130" s="3" t="s">
        <v>3</v>
      </c>
      <c r="F130" s="3" t="s">
        <v>3</v>
      </c>
      <c r="G130" s="3" t="s">
        <v>101</v>
      </c>
      <c r="H130" s="5">
        <v>438800</v>
      </c>
      <c r="I130" s="22" t="s">
        <v>681</v>
      </c>
      <c r="J130" s="5" t="s">
        <v>102</v>
      </c>
    </row>
    <row r="131" spans="1:10" ht="30">
      <c r="A131" s="19" t="s">
        <v>455</v>
      </c>
      <c r="B131" s="22" t="s">
        <v>210</v>
      </c>
      <c r="C131" s="22" t="s">
        <v>60</v>
      </c>
      <c r="D131" s="22" t="s">
        <v>685</v>
      </c>
      <c r="E131" s="22" t="s">
        <v>3</v>
      </c>
      <c r="F131" s="22" t="s">
        <v>3</v>
      </c>
      <c r="G131" s="22" t="s">
        <v>101</v>
      </c>
      <c r="H131" s="5">
        <v>1366500</v>
      </c>
      <c r="I131" s="22" t="s">
        <v>681</v>
      </c>
      <c r="J131" s="5" t="s">
        <v>102</v>
      </c>
    </row>
    <row r="132" spans="1:10" ht="30">
      <c r="A132" s="19" t="s">
        <v>456</v>
      </c>
      <c r="B132" s="22" t="s">
        <v>210</v>
      </c>
      <c r="C132" s="22" t="s">
        <v>60</v>
      </c>
      <c r="D132" s="3" t="s">
        <v>686</v>
      </c>
      <c r="E132" s="22" t="s">
        <v>3</v>
      </c>
      <c r="F132" s="22" t="s">
        <v>3</v>
      </c>
      <c r="G132" s="22" t="s">
        <v>101</v>
      </c>
      <c r="H132" s="5">
        <v>523000</v>
      </c>
      <c r="I132" s="22" t="s">
        <v>681</v>
      </c>
      <c r="J132" s="5" t="s">
        <v>102</v>
      </c>
    </row>
    <row r="133" spans="1:10" ht="45">
      <c r="A133" s="19" t="s">
        <v>457</v>
      </c>
      <c r="B133" s="22" t="s">
        <v>210</v>
      </c>
      <c r="C133" s="22" t="s">
        <v>60</v>
      </c>
      <c r="D133" s="3" t="s">
        <v>687</v>
      </c>
      <c r="E133" s="22" t="s">
        <v>3</v>
      </c>
      <c r="F133" s="22" t="s">
        <v>3</v>
      </c>
      <c r="G133" s="22" t="s">
        <v>101</v>
      </c>
      <c r="H133" s="5">
        <v>440000</v>
      </c>
      <c r="I133" s="22" t="s">
        <v>681</v>
      </c>
      <c r="J133" s="5" t="s">
        <v>102</v>
      </c>
    </row>
    <row r="134" spans="1:10" ht="30">
      <c r="A134" s="19" t="s">
        <v>458</v>
      </c>
      <c r="B134" s="22" t="s">
        <v>210</v>
      </c>
      <c r="C134" s="22" t="s">
        <v>60</v>
      </c>
      <c r="D134" s="3" t="s">
        <v>688</v>
      </c>
      <c r="E134" s="22" t="s">
        <v>3</v>
      </c>
      <c r="F134" s="22" t="s">
        <v>3</v>
      </c>
      <c r="G134" s="22" t="s">
        <v>101</v>
      </c>
      <c r="H134" s="5">
        <v>440000</v>
      </c>
      <c r="I134" s="22" t="s">
        <v>681</v>
      </c>
      <c r="J134" s="5" t="s">
        <v>102</v>
      </c>
    </row>
    <row r="135" spans="1:10" ht="45">
      <c r="A135" s="19" t="s">
        <v>459</v>
      </c>
      <c r="B135" s="22" t="s">
        <v>210</v>
      </c>
      <c r="C135" s="22" t="s">
        <v>60</v>
      </c>
      <c r="D135" s="3" t="s">
        <v>689</v>
      </c>
      <c r="E135" s="22" t="s">
        <v>3</v>
      </c>
      <c r="F135" s="22" t="s">
        <v>3</v>
      </c>
      <c r="G135" s="22" t="s">
        <v>101</v>
      </c>
      <c r="H135" s="5">
        <v>293030</v>
      </c>
      <c r="I135" s="22" t="s">
        <v>681</v>
      </c>
      <c r="J135" s="5" t="s">
        <v>102</v>
      </c>
    </row>
    <row r="136" spans="1:10" ht="30">
      <c r="A136" s="19" t="s">
        <v>460</v>
      </c>
      <c r="B136" s="22" t="s">
        <v>210</v>
      </c>
      <c r="C136" s="22" t="s">
        <v>60</v>
      </c>
      <c r="D136" s="3" t="s">
        <v>690</v>
      </c>
      <c r="E136" s="22" t="s">
        <v>3</v>
      </c>
      <c r="F136" s="22" t="s">
        <v>3</v>
      </c>
      <c r="G136" s="22" t="s">
        <v>101</v>
      </c>
      <c r="H136" s="5">
        <v>370000</v>
      </c>
      <c r="I136" s="22" t="s">
        <v>681</v>
      </c>
      <c r="J136" s="5" t="s">
        <v>102</v>
      </c>
    </row>
    <row r="137" spans="1:10" ht="30">
      <c r="A137" s="19" t="s">
        <v>461</v>
      </c>
      <c r="B137" s="17" t="s">
        <v>214</v>
      </c>
      <c r="C137" s="3" t="s">
        <v>59</v>
      </c>
      <c r="D137" s="22" t="s">
        <v>691</v>
      </c>
      <c r="E137" s="22" t="s">
        <v>100</v>
      </c>
      <c r="F137" s="22">
        <v>8</v>
      </c>
      <c r="G137" s="22" t="s">
        <v>101</v>
      </c>
      <c r="H137" s="5">
        <v>127200</v>
      </c>
      <c r="I137" s="22" t="s">
        <v>681</v>
      </c>
      <c r="J137" s="5" t="s">
        <v>102</v>
      </c>
    </row>
    <row r="138" spans="1:10" ht="30">
      <c r="A138" s="19" t="s">
        <v>462</v>
      </c>
      <c r="B138" s="17" t="s">
        <v>214</v>
      </c>
      <c r="C138" s="22" t="s">
        <v>59</v>
      </c>
      <c r="D138" s="3" t="s">
        <v>692</v>
      </c>
      <c r="E138" s="22" t="s">
        <v>100</v>
      </c>
      <c r="F138" s="22">
        <v>8</v>
      </c>
      <c r="G138" s="22" t="s">
        <v>101</v>
      </c>
      <c r="H138" s="5">
        <v>142400</v>
      </c>
      <c r="I138" s="22" t="s">
        <v>681</v>
      </c>
      <c r="J138" s="5" t="s">
        <v>102</v>
      </c>
    </row>
    <row r="139" spans="1:10">
      <c r="A139" s="19" t="s">
        <v>693</v>
      </c>
      <c r="B139" s="12" t="s">
        <v>209</v>
      </c>
      <c r="C139" s="4" t="s">
        <v>578</v>
      </c>
      <c r="D139" s="4" t="s">
        <v>578</v>
      </c>
      <c r="E139" s="4" t="s">
        <v>578</v>
      </c>
      <c r="F139" s="4" t="s">
        <v>578</v>
      </c>
      <c r="G139" s="3" t="s">
        <v>125</v>
      </c>
      <c r="H139" s="13">
        <f>SUM(H140:H252)</f>
        <v>22563286</v>
      </c>
      <c r="I139" s="4" t="s">
        <v>578</v>
      </c>
      <c r="J139" s="5" t="s">
        <v>102</v>
      </c>
    </row>
    <row r="140" spans="1:10" ht="30">
      <c r="A140" s="19" t="s">
        <v>463</v>
      </c>
      <c r="B140" s="22" t="s">
        <v>210</v>
      </c>
      <c r="C140" s="22" t="s">
        <v>59</v>
      </c>
      <c r="D140" s="22" t="s">
        <v>212</v>
      </c>
      <c r="E140" s="22" t="s">
        <v>3</v>
      </c>
      <c r="F140" s="3" t="s">
        <v>3</v>
      </c>
      <c r="G140" s="3" t="s">
        <v>211</v>
      </c>
      <c r="H140" s="5">
        <v>175000</v>
      </c>
      <c r="I140" s="22" t="s">
        <v>681</v>
      </c>
      <c r="J140" s="5" t="s">
        <v>102</v>
      </c>
    </row>
    <row r="141" spans="1:10" ht="30">
      <c r="A141" s="19" t="s">
        <v>464</v>
      </c>
      <c r="B141" s="22" t="s">
        <v>210</v>
      </c>
      <c r="C141" s="22" t="s">
        <v>59</v>
      </c>
      <c r="D141" s="22" t="s">
        <v>212</v>
      </c>
      <c r="E141" s="22" t="s">
        <v>3</v>
      </c>
      <c r="F141" s="22" t="s">
        <v>3</v>
      </c>
      <c r="G141" s="3" t="s">
        <v>216</v>
      </c>
      <c r="H141" s="5">
        <f>175000-43750</f>
        <v>131250</v>
      </c>
      <c r="I141" s="22" t="s">
        <v>681</v>
      </c>
      <c r="J141" s="5" t="s">
        <v>102</v>
      </c>
    </row>
    <row r="142" spans="1:10" ht="30">
      <c r="A142" s="19" t="s">
        <v>465</v>
      </c>
      <c r="B142" s="22" t="s">
        <v>210</v>
      </c>
      <c r="C142" s="22" t="s">
        <v>59</v>
      </c>
      <c r="D142" s="22" t="s">
        <v>212</v>
      </c>
      <c r="E142" s="22" t="s">
        <v>3</v>
      </c>
      <c r="F142" s="22" t="s">
        <v>3</v>
      </c>
      <c r="G142" s="3" t="s">
        <v>217</v>
      </c>
      <c r="H142" s="5">
        <f>175000-43750</f>
        <v>131250</v>
      </c>
      <c r="I142" s="22" t="s">
        <v>681</v>
      </c>
      <c r="J142" s="5" t="s">
        <v>102</v>
      </c>
    </row>
    <row r="143" spans="1:10" ht="30">
      <c r="A143" s="19" t="s">
        <v>466</v>
      </c>
      <c r="B143" s="22" t="s">
        <v>210</v>
      </c>
      <c r="C143" s="22" t="s">
        <v>59</v>
      </c>
      <c r="D143" s="22" t="s">
        <v>212</v>
      </c>
      <c r="E143" s="22" t="s">
        <v>3</v>
      </c>
      <c r="F143" s="22" t="s">
        <v>3</v>
      </c>
      <c r="G143" s="3" t="s">
        <v>218</v>
      </c>
      <c r="H143" s="5">
        <f>175000-43750</f>
        <v>131250</v>
      </c>
      <c r="I143" s="22" t="s">
        <v>681</v>
      </c>
      <c r="J143" s="5" t="s">
        <v>102</v>
      </c>
    </row>
    <row r="144" spans="1:10" ht="30">
      <c r="A144" s="19" t="s">
        <v>467</v>
      </c>
      <c r="B144" s="22" t="s">
        <v>210</v>
      </c>
      <c r="C144" s="22" t="s">
        <v>59</v>
      </c>
      <c r="D144" s="22" t="s">
        <v>212</v>
      </c>
      <c r="E144" s="22" t="s">
        <v>3</v>
      </c>
      <c r="F144" s="22" t="s">
        <v>3</v>
      </c>
      <c r="G144" s="3" t="s">
        <v>219</v>
      </c>
      <c r="H144" s="5">
        <f>175000-43750</f>
        <v>131250</v>
      </c>
      <c r="I144" s="22" t="s">
        <v>681</v>
      </c>
      <c r="J144" s="5" t="s">
        <v>102</v>
      </c>
    </row>
    <row r="145" spans="1:10" ht="30">
      <c r="A145" s="19" t="s">
        <v>468</v>
      </c>
      <c r="B145" s="22" t="s">
        <v>210</v>
      </c>
      <c r="C145" s="22" t="s">
        <v>59</v>
      </c>
      <c r="D145" s="22" t="s">
        <v>212</v>
      </c>
      <c r="E145" s="22" t="s">
        <v>3</v>
      </c>
      <c r="F145" s="22" t="s">
        <v>3</v>
      </c>
      <c r="G145" s="3" t="s">
        <v>292</v>
      </c>
      <c r="H145" s="5">
        <v>175000</v>
      </c>
      <c r="I145" s="22" t="s">
        <v>681</v>
      </c>
      <c r="J145" s="5" t="s">
        <v>102</v>
      </c>
    </row>
    <row r="146" spans="1:10" ht="30">
      <c r="A146" s="19" t="s">
        <v>469</v>
      </c>
      <c r="B146" s="22" t="s">
        <v>210</v>
      </c>
      <c r="C146" s="22" t="s">
        <v>59</v>
      </c>
      <c r="D146" s="22" t="s">
        <v>212</v>
      </c>
      <c r="E146" s="22" t="s">
        <v>3</v>
      </c>
      <c r="F146" s="22" t="s">
        <v>3</v>
      </c>
      <c r="G146" s="3" t="s">
        <v>223</v>
      </c>
      <c r="H146" s="5">
        <v>175000</v>
      </c>
      <c r="I146" s="22" t="s">
        <v>681</v>
      </c>
      <c r="J146" s="5" t="s">
        <v>102</v>
      </c>
    </row>
    <row r="147" spans="1:10" ht="30">
      <c r="A147" s="19" t="s">
        <v>694</v>
      </c>
      <c r="B147" s="22" t="s">
        <v>210</v>
      </c>
      <c r="C147" s="22" t="s">
        <v>59</v>
      </c>
      <c r="D147" s="22" t="s">
        <v>212</v>
      </c>
      <c r="E147" s="22" t="s">
        <v>3</v>
      </c>
      <c r="F147" s="22" t="s">
        <v>3</v>
      </c>
      <c r="G147" s="3" t="s">
        <v>225</v>
      </c>
      <c r="H147" s="5">
        <f>175000-43750</f>
        <v>131250</v>
      </c>
      <c r="I147" s="22" t="s">
        <v>681</v>
      </c>
      <c r="J147" s="5" t="s">
        <v>102</v>
      </c>
    </row>
    <row r="148" spans="1:10" ht="30">
      <c r="A148" s="19" t="s">
        <v>695</v>
      </c>
      <c r="B148" s="22" t="s">
        <v>210</v>
      </c>
      <c r="C148" s="22" t="s">
        <v>59</v>
      </c>
      <c r="D148" s="22" t="s">
        <v>212</v>
      </c>
      <c r="E148" s="22" t="s">
        <v>3</v>
      </c>
      <c r="F148" s="22" t="s">
        <v>3</v>
      </c>
      <c r="G148" s="3" t="s">
        <v>226</v>
      </c>
      <c r="H148" s="5">
        <v>175000</v>
      </c>
      <c r="I148" s="22" t="s">
        <v>681</v>
      </c>
      <c r="J148" s="5" t="s">
        <v>102</v>
      </c>
    </row>
    <row r="149" spans="1:10" ht="30">
      <c r="A149" s="19" t="s">
        <v>696</v>
      </c>
      <c r="B149" s="22" t="s">
        <v>210</v>
      </c>
      <c r="C149" s="22" t="s">
        <v>59</v>
      </c>
      <c r="D149" s="22" t="s">
        <v>212</v>
      </c>
      <c r="E149" s="22" t="s">
        <v>3</v>
      </c>
      <c r="F149" s="22" t="s">
        <v>3</v>
      </c>
      <c r="G149" s="3" t="s">
        <v>227</v>
      </c>
      <c r="H149" s="5">
        <v>175000</v>
      </c>
      <c r="I149" s="22" t="s">
        <v>681</v>
      </c>
      <c r="J149" s="5" t="s">
        <v>102</v>
      </c>
    </row>
    <row r="150" spans="1:10" ht="30">
      <c r="A150" s="19" t="s">
        <v>697</v>
      </c>
      <c r="B150" s="22" t="s">
        <v>210</v>
      </c>
      <c r="C150" s="22" t="s">
        <v>59</v>
      </c>
      <c r="D150" s="22" t="s">
        <v>212</v>
      </c>
      <c r="E150" s="22" t="s">
        <v>3</v>
      </c>
      <c r="F150" s="22" t="s">
        <v>3</v>
      </c>
      <c r="G150" s="3" t="s">
        <v>228</v>
      </c>
      <c r="H150" s="5">
        <v>175000</v>
      </c>
      <c r="I150" s="22" t="s">
        <v>681</v>
      </c>
      <c r="J150" s="5" t="s">
        <v>102</v>
      </c>
    </row>
    <row r="151" spans="1:10" ht="30">
      <c r="A151" s="19" t="s">
        <v>698</v>
      </c>
      <c r="B151" s="22" t="s">
        <v>210</v>
      </c>
      <c r="C151" s="22" t="s">
        <v>59</v>
      </c>
      <c r="D151" s="22" t="s">
        <v>212</v>
      </c>
      <c r="E151" s="22" t="s">
        <v>3</v>
      </c>
      <c r="F151" s="22" t="s">
        <v>3</v>
      </c>
      <c r="G151" s="3" t="s">
        <v>229</v>
      </c>
      <c r="H151" s="5">
        <f>175000-43750</f>
        <v>131250</v>
      </c>
      <c r="I151" s="22" t="s">
        <v>681</v>
      </c>
      <c r="J151" s="5" t="s">
        <v>102</v>
      </c>
    </row>
    <row r="152" spans="1:10" ht="30">
      <c r="A152" s="19" t="s">
        <v>699</v>
      </c>
      <c r="B152" s="22" t="s">
        <v>210</v>
      </c>
      <c r="C152" s="22" t="s">
        <v>59</v>
      </c>
      <c r="D152" s="22" t="s">
        <v>212</v>
      </c>
      <c r="E152" s="22" t="s">
        <v>3</v>
      </c>
      <c r="F152" s="22" t="s">
        <v>3</v>
      </c>
      <c r="G152" s="3" t="s">
        <v>230</v>
      </c>
      <c r="H152" s="5">
        <f>175000-43750</f>
        <v>131250</v>
      </c>
      <c r="I152" s="22" t="s">
        <v>681</v>
      </c>
      <c r="J152" s="5" t="s">
        <v>102</v>
      </c>
    </row>
    <row r="153" spans="1:10" ht="30">
      <c r="A153" s="19" t="s">
        <v>700</v>
      </c>
      <c r="B153" s="22" t="s">
        <v>210</v>
      </c>
      <c r="C153" s="22" t="s">
        <v>59</v>
      </c>
      <c r="D153" s="22" t="s">
        <v>212</v>
      </c>
      <c r="E153" s="22" t="s">
        <v>3</v>
      </c>
      <c r="F153" s="22" t="s">
        <v>3</v>
      </c>
      <c r="G153" s="3" t="s">
        <v>232</v>
      </c>
      <c r="H153" s="5">
        <f>175000-20236.75</f>
        <v>154763.25</v>
      </c>
      <c r="I153" s="22" t="s">
        <v>681</v>
      </c>
      <c r="J153" s="5" t="s">
        <v>102</v>
      </c>
    </row>
    <row r="154" spans="1:10" ht="30">
      <c r="A154" s="19" t="s">
        <v>701</v>
      </c>
      <c r="B154" s="22" t="s">
        <v>210</v>
      </c>
      <c r="C154" s="22" t="s">
        <v>59</v>
      </c>
      <c r="D154" s="22" t="s">
        <v>212</v>
      </c>
      <c r="E154" s="22" t="s">
        <v>3</v>
      </c>
      <c r="F154" s="22" t="s">
        <v>3</v>
      </c>
      <c r="G154" s="3" t="s">
        <v>233</v>
      </c>
      <c r="H154" s="5">
        <v>175000</v>
      </c>
      <c r="I154" s="22" t="s">
        <v>681</v>
      </c>
      <c r="J154" s="5" t="s">
        <v>102</v>
      </c>
    </row>
    <row r="155" spans="1:10" ht="45">
      <c r="A155" s="19" t="s">
        <v>702</v>
      </c>
      <c r="B155" s="22" t="s">
        <v>210</v>
      </c>
      <c r="C155" s="22" t="s">
        <v>59</v>
      </c>
      <c r="D155" s="22" t="s">
        <v>780</v>
      </c>
      <c r="E155" s="22" t="s">
        <v>3</v>
      </c>
      <c r="F155" s="22" t="s">
        <v>3</v>
      </c>
      <c r="G155" s="3" t="s">
        <v>649</v>
      </c>
      <c r="H155" s="5">
        <f>175000-150000</f>
        <v>25000</v>
      </c>
      <c r="I155" s="22" t="s">
        <v>681</v>
      </c>
      <c r="J155" s="5" t="s">
        <v>102</v>
      </c>
    </row>
    <row r="156" spans="1:10" ht="60">
      <c r="A156" s="19" t="s">
        <v>703</v>
      </c>
      <c r="B156" s="22" t="s">
        <v>210</v>
      </c>
      <c r="C156" s="22" t="s">
        <v>59</v>
      </c>
      <c r="D156" s="22" t="s">
        <v>780</v>
      </c>
      <c r="E156" s="22" t="s">
        <v>3</v>
      </c>
      <c r="F156" s="22" t="s">
        <v>3</v>
      </c>
      <c r="G156" s="3" t="s">
        <v>222</v>
      </c>
      <c r="H156" s="5">
        <f>175000-175000</f>
        <v>0</v>
      </c>
      <c r="I156" s="22" t="s">
        <v>681</v>
      </c>
      <c r="J156" s="5" t="s">
        <v>102</v>
      </c>
    </row>
    <row r="157" spans="1:10" ht="30">
      <c r="A157" s="19" t="s">
        <v>704</v>
      </c>
      <c r="B157" s="22" t="s">
        <v>210</v>
      </c>
      <c r="C157" s="22" t="s">
        <v>59</v>
      </c>
      <c r="D157" s="22" t="s">
        <v>780</v>
      </c>
      <c r="E157" s="22" t="s">
        <v>3</v>
      </c>
      <c r="F157" s="22" t="s">
        <v>3</v>
      </c>
      <c r="G157" s="22" t="s">
        <v>228</v>
      </c>
      <c r="H157" s="5">
        <f>175000-175000</f>
        <v>0</v>
      </c>
      <c r="I157" s="22" t="s">
        <v>681</v>
      </c>
      <c r="J157" s="5" t="s">
        <v>102</v>
      </c>
    </row>
    <row r="158" spans="1:10" ht="30">
      <c r="A158" s="19" t="s">
        <v>705</v>
      </c>
      <c r="B158" s="22" t="s">
        <v>210</v>
      </c>
      <c r="C158" s="22" t="s">
        <v>59</v>
      </c>
      <c r="D158" s="22" t="s">
        <v>781</v>
      </c>
      <c r="E158" s="22" t="s">
        <v>3</v>
      </c>
      <c r="F158" s="22" t="s">
        <v>3</v>
      </c>
      <c r="G158" s="22" t="s">
        <v>221</v>
      </c>
      <c r="H158" s="5">
        <v>175000</v>
      </c>
      <c r="I158" s="22" t="s">
        <v>681</v>
      </c>
      <c r="J158" s="5" t="s">
        <v>102</v>
      </c>
    </row>
    <row r="159" spans="1:10" ht="30">
      <c r="A159" s="19" t="s">
        <v>706</v>
      </c>
      <c r="B159" s="22" t="s">
        <v>210</v>
      </c>
      <c r="C159" s="22" t="s">
        <v>59</v>
      </c>
      <c r="D159" s="22" t="s">
        <v>782</v>
      </c>
      <c r="E159" s="22" t="s">
        <v>3</v>
      </c>
      <c r="F159" s="22" t="s">
        <v>3</v>
      </c>
      <c r="G159" s="3" t="s">
        <v>226</v>
      </c>
      <c r="H159" s="5">
        <f>185000-185000</f>
        <v>0</v>
      </c>
      <c r="I159" s="22" t="s">
        <v>681</v>
      </c>
      <c r="J159" s="5" t="s">
        <v>102</v>
      </c>
    </row>
    <row r="160" spans="1:10" ht="30">
      <c r="A160" s="19" t="s">
        <v>707</v>
      </c>
      <c r="B160" s="22" t="s">
        <v>210</v>
      </c>
      <c r="C160" s="22" t="s">
        <v>59</v>
      </c>
      <c r="D160" s="22" t="s">
        <v>782</v>
      </c>
      <c r="E160" s="22" t="s">
        <v>3</v>
      </c>
      <c r="F160" s="22" t="s">
        <v>3</v>
      </c>
      <c r="G160" s="3" t="s">
        <v>227</v>
      </c>
      <c r="H160" s="5">
        <v>242500</v>
      </c>
      <c r="I160" s="22" t="s">
        <v>681</v>
      </c>
      <c r="J160" s="5" t="s">
        <v>102</v>
      </c>
    </row>
    <row r="161" spans="1:10" ht="30">
      <c r="A161" s="19" t="s">
        <v>708</v>
      </c>
      <c r="B161" s="22" t="s">
        <v>210</v>
      </c>
      <c r="C161" s="22" t="s">
        <v>59</v>
      </c>
      <c r="D161" s="22" t="s">
        <v>783</v>
      </c>
      <c r="E161" s="22" t="s">
        <v>3</v>
      </c>
      <c r="F161" s="22" t="s">
        <v>3</v>
      </c>
      <c r="G161" s="22" t="s">
        <v>221</v>
      </c>
      <c r="H161" s="5">
        <f>145000-120000</f>
        <v>25000</v>
      </c>
      <c r="I161" s="22" t="s">
        <v>681</v>
      </c>
      <c r="J161" s="5" t="s">
        <v>102</v>
      </c>
    </row>
    <row r="162" spans="1:10" ht="30">
      <c r="A162" s="19" t="s">
        <v>709</v>
      </c>
      <c r="B162" s="22" t="s">
        <v>210</v>
      </c>
      <c r="C162" s="3" t="s">
        <v>59</v>
      </c>
      <c r="D162" s="22" t="s">
        <v>213</v>
      </c>
      <c r="E162" s="22" t="s">
        <v>3</v>
      </c>
      <c r="F162" s="22" t="s">
        <v>3</v>
      </c>
      <c r="G162" s="3" t="s">
        <v>211</v>
      </c>
      <c r="H162" s="5">
        <v>274000</v>
      </c>
      <c r="I162" s="22" t="s">
        <v>681</v>
      </c>
      <c r="J162" s="5" t="s">
        <v>102</v>
      </c>
    </row>
    <row r="163" spans="1:10" ht="30">
      <c r="A163" s="19" t="s">
        <v>710</v>
      </c>
      <c r="B163" s="22" t="s">
        <v>210</v>
      </c>
      <c r="C163" s="22" t="s">
        <v>59</v>
      </c>
      <c r="D163" s="22" t="s">
        <v>213</v>
      </c>
      <c r="E163" s="22" t="s">
        <v>3</v>
      </c>
      <c r="F163" s="22" t="s">
        <v>3</v>
      </c>
      <c r="G163" s="22" t="s">
        <v>229</v>
      </c>
      <c r="H163" s="5">
        <v>274000</v>
      </c>
      <c r="I163" s="22" t="s">
        <v>681</v>
      </c>
      <c r="J163" s="5" t="s">
        <v>102</v>
      </c>
    </row>
    <row r="164" spans="1:10" ht="30">
      <c r="A164" s="19" t="s">
        <v>711</v>
      </c>
      <c r="B164" s="22" t="s">
        <v>210</v>
      </c>
      <c r="C164" s="22" t="s">
        <v>59</v>
      </c>
      <c r="D164" s="22" t="s">
        <v>213</v>
      </c>
      <c r="E164" s="22" t="s">
        <v>3</v>
      </c>
      <c r="F164" s="22" t="s">
        <v>3</v>
      </c>
      <c r="G164" s="3" t="s">
        <v>218</v>
      </c>
      <c r="H164" s="5">
        <v>274000</v>
      </c>
      <c r="I164" s="22" t="s">
        <v>681</v>
      </c>
      <c r="J164" s="5" t="s">
        <v>102</v>
      </c>
    </row>
    <row r="165" spans="1:10" ht="30">
      <c r="A165" s="19" t="s">
        <v>712</v>
      </c>
      <c r="B165" s="22" t="s">
        <v>210</v>
      </c>
      <c r="C165" s="22" t="s">
        <v>59</v>
      </c>
      <c r="D165" s="22" t="s">
        <v>213</v>
      </c>
      <c r="E165" s="22" t="s">
        <v>3</v>
      </c>
      <c r="F165" s="22" t="s">
        <v>3</v>
      </c>
      <c r="G165" s="3" t="s">
        <v>233</v>
      </c>
      <c r="H165" s="5">
        <v>274000</v>
      </c>
      <c r="I165" s="22" t="s">
        <v>681</v>
      </c>
      <c r="J165" s="5" t="s">
        <v>102</v>
      </c>
    </row>
    <row r="166" spans="1:10" ht="30">
      <c r="A166" s="19" t="s">
        <v>713</v>
      </c>
      <c r="B166" s="22" t="s">
        <v>210</v>
      </c>
      <c r="C166" s="22" t="s">
        <v>59</v>
      </c>
      <c r="D166" s="22" t="s">
        <v>215</v>
      </c>
      <c r="E166" s="22" t="s">
        <v>3</v>
      </c>
      <c r="F166" s="22" t="s">
        <v>3</v>
      </c>
      <c r="G166" s="3" t="s">
        <v>211</v>
      </c>
      <c r="H166" s="5">
        <v>242500</v>
      </c>
      <c r="I166" s="22" t="s">
        <v>681</v>
      </c>
      <c r="J166" s="5" t="s">
        <v>102</v>
      </c>
    </row>
    <row r="167" spans="1:10" ht="30">
      <c r="A167" s="19" t="s">
        <v>714</v>
      </c>
      <c r="B167" s="22" t="s">
        <v>210</v>
      </c>
      <c r="C167" s="22" t="s">
        <v>59</v>
      </c>
      <c r="D167" s="22" t="s">
        <v>215</v>
      </c>
      <c r="E167" s="22" t="s">
        <v>3</v>
      </c>
      <c r="F167" s="22" t="s">
        <v>3</v>
      </c>
      <c r="G167" s="3" t="s">
        <v>216</v>
      </c>
      <c r="H167" s="5">
        <v>485000</v>
      </c>
      <c r="I167" s="22" t="s">
        <v>681</v>
      </c>
      <c r="J167" s="5" t="s">
        <v>102</v>
      </c>
    </row>
    <row r="168" spans="1:10" ht="30">
      <c r="A168" s="19" t="s">
        <v>715</v>
      </c>
      <c r="B168" s="22" t="s">
        <v>210</v>
      </c>
      <c r="C168" s="22" t="s">
        <v>59</v>
      </c>
      <c r="D168" s="22" t="s">
        <v>215</v>
      </c>
      <c r="E168" s="22" t="s">
        <v>3</v>
      </c>
      <c r="F168" s="22" t="s">
        <v>3</v>
      </c>
      <c r="G168" s="3" t="s">
        <v>217</v>
      </c>
      <c r="H168" s="5">
        <v>485000</v>
      </c>
      <c r="I168" s="22" t="s">
        <v>681</v>
      </c>
      <c r="J168" s="5" t="s">
        <v>102</v>
      </c>
    </row>
    <row r="169" spans="1:10" ht="30">
      <c r="A169" s="19" t="s">
        <v>716</v>
      </c>
      <c r="B169" s="22" t="s">
        <v>210</v>
      </c>
      <c r="C169" s="22" t="s">
        <v>59</v>
      </c>
      <c r="D169" s="22" t="s">
        <v>215</v>
      </c>
      <c r="E169" s="22" t="s">
        <v>3</v>
      </c>
      <c r="F169" s="22" t="s">
        <v>3</v>
      </c>
      <c r="G169" s="3" t="s">
        <v>218</v>
      </c>
      <c r="H169" s="5">
        <v>242500</v>
      </c>
      <c r="I169" s="22" t="s">
        <v>681</v>
      </c>
      <c r="J169" s="5" t="s">
        <v>102</v>
      </c>
    </row>
    <row r="170" spans="1:10" ht="30">
      <c r="A170" s="19" t="s">
        <v>717</v>
      </c>
      <c r="B170" s="22" t="s">
        <v>210</v>
      </c>
      <c r="C170" s="22" t="s">
        <v>59</v>
      </c>
      <c r="D170" s="22" t="s">
        <v>215</v>
      </c>
      <c r="E170" s="22" t="s">
        <v>3</v>
      </c>
      <c r="F170" s="22" t="s">
        <v>3</v>
      </c>
      <c r="G170" s="3" t="s">
        <v>219</v>
      </c>
      <c r="H170" s="5">
        <v>485000</v>
      </c>
      <c r="I170" s="22" t="s">
        <v>681</v>
      </c>
      <c r="J170" s="5" t="s">
        <v>102</v>
      </c>
    </row>
    <row r="171" spans="1:10" ht="30">
      <c r="A171" s="19" t="s">
        <v>718</v>
      </c>
      <c r="B171" s="22" t="s">
        <v>210</v>
      </c>
      <c r="C171" s="22" t="s">
        <v>59</v>
      </c>
      <c r="D171" s="22" t="s">
        <v>215</v>
      </c>
      <c r="E171" s="22" t="s">
        <v>3</v>
      </c>
      <c r="F171" s="22" t="s">
        <v>3</v>
      </c>
      <c r="G171" s="3" t="s">
        <v>292</v>
      </c>
      <c r="H171" s="5">
        <v>485000</v>
      </c>
      <c r="I171" s="22" t="s">
        <v>681</v>
      </c>
      <c r="J171" s="5" t="s">
        <v>102</v>
      </c>
    </row>
    <row r="172" spans="1:10" ht="30">
      <c r="A172" s="19" t="s">
        <v>719</v>
      </c>
      <c r="B172" s="22" t="s">
        <v>210</v>
      </c>
      <c r="C172" s="22" t="s">
        <v>59</v>
      </c>
      <c r="D172" s="22" t="s">
        <v>215</v>
      </c>
      <c r="E172" s="22" t="s">
        <v>3</v>
      </c>
      <c r="F172" s="22" t="s">
        <v>3</v>
      </c>
      <c r="G172" s="3" t="s">
        <v>221</v>
      </c>
      <c r="H172" s="5">
        <v>242500</v>
      </c>
      <c r="I172" s="22" t="s">
        <v>681</v>
      </c>
      <c r="J172" s="5" t="s">
        <v>102</v>
      </c>
    </row>
    <row r="173" spans="1:10" ht="30">
      <c r="A173" s="19" t="s">
        <v>720</v>
      </c>
      <c r="B173" s="22" t="s">
        <v>210</v>
      </c>
      <c r="C173" s="22" t="s">
        <v>59</v>
      </c>
      <c r="D173" s="22" t="s">
        <v>215</v>
      </c>
      <c r="E173" s="22" t="s">
        <v>3</v>
      </c>
      <c r="F173" s="22" t="s">
        <v>3</v>
      </c>
      <c r="G173" s="3" t="s">
        <v>223</v>
      </c>
      <c r="H173" s="5">
        <f>485000+43750+43750+43750+43750+175000+43750+175000+185000+43750+43750+20236.75-100000</f>
        <v>1246486.75</v>
      </c>
      <c r="I173" s="22" t="s">
        <v>681</v>
      </c>
      <c r="J173" s="5" t="s">
        <v>102</v>
      </c>
    </row>
    <row r="174" spans="1:10" ht="30">
      <c r="A174" s="19" t="s">
        <v>721</v>
      </c>
      <c r="B174" s="22" t="s">
        <v>210</v>
      </c>
      <c r="C174" s="22" t="s">
        <v>59</v>
      </c>
      <c r="D174" s="22" t="s">
        <v>215</v>
      </c>
      <c r="E174" s="22" t="s">
        <v>3</v>
      </c>
      <c r="F174" s="22" t="s">
        <v>3</v>
      </c>
      <c r="G174" s="3" t="s">
        <v>225</v>
      </c>
      <c r="H174" s="5">
        <v>485000</v>
      </c>
      <c r="I174" s="22" t="s">
        <v>681</v>
      </c>
      <c r="J174" s="5" t="s">
        <v>102</v>
      </c>
    </row>
    <row r="175" spans="1:10" ht="30">
      <c r="A175" s="19" t="s">
        <v>722</v>
      </c>
      <c r="B175" s="22" t="s">
        <v>210</v>
      </c>
      <c r="C175" s="22" t="s">
        <v>59</v>
      </c>
      <c r="D175" s="22" t="s">
        <v>215</v>
      </c>
      <c r="E175" s="22" t="s">
        <v>3</v>
      </c>
      <c r="F175" s="22" t="s">
        <v>3</v>
      </c>
      <c r="G175" s="3" t="s">
        <v>226</v>
      </c>
      <c r="H175" s="5">
        <v>242500</v>
      </c>
      <c r="I175" s="22" t="s">
        <v>681</v>
      </c>
      <c r="J175" s="5" t="s">
        <v>102</v>
      </c>
    </row>
    <row r="176" spans="1:10" ht="30">
      <c r="A176" s="19" t="s">
        <v>723</v>
      </c>
      <c r="B176" s="22" t="s">
        <v>210</v>
      </c>
      <c r="C176" s="22" t="s">
        <v>59</v>
      </c>
      <c r="D176" s="22" t="s">
        <v>215</v>
      </c>
      <c r="E176" s="22" t="s">
        <v>3</v>
      </c>
      <c r="F176" s="22" t="s">
        <v>3</v>
      </c>
      <c r="G176" s="3" t="s">
        <v>227</v>
      </c>
      <c r="H176" s="5">
        <f>242500+150000-50000</f>
        <v>342500</v>
      </c>
      <c r="I176" s="22" t="s">
        <v>681</v>
      </c>
      <c r="J176" s="5" t="s">
        <v>102</v>
      </c>
    </row>
    <row r="177" spans="1:10" ht="30">
      <c r="A177" s="19" t="s">
        <v>724</v>
      </c>
      <c r="B177" s="22" t="s">
        <v>210</v>
      </c>
      <c r="C177" s="22" t="s">
        <v>59</v>
      </c>
      <c r="D177" s="22" t="s">
        <v>215</v>
      </c>
      <c r="E177" s="3" t="s">
        <v>3</v>
      </c>
      <c r="F177" s="3" t="s">
        <v>3</v>
      </c>
      <c r="G177" s="3" t="s">
        <v>228</v>
      </c>
      <c r="H177" s="5">
        <v>242500</v>
      </c>
      <c r="I177" s="22" t="s">
        <v>681</v>
      </c>
      <c r="J177" s="5" t="s">
        <v>102</v>
      </c>
    </row>
    <row r="178" spans="1:10" ht="30">
      <c r="A178" s="19" t="s">
        <v>725</v>
      </c>
      <c r="B178" s="22" t="s">
        <v>210</v>
      </c>
      <c r="C178" s="22" t="s">
        <v>59</v>
      </c>
      <c r="D178" s="22" t="s">
        <v>215</v>
      </c>
      <c r="E178" s="22" t="s">
        <v>3</v>
      </c>
      <c r="F178" s="22" t="s">
        <v>3</v>
      </c>
      <c r="G178" s="3" t="s">
        <v>229</v>
      </c>
      <c r="H178" s="5">
        <v>242500</v>
      </c>
      <c r="I178" s="22" t="s">
        <v>681</v>
      </c>
      <c r="J178" s="5" t="s">
        <v>102</v>
      </c>
    </row>
    <row r="179" spans="1:10" ht="30">
      <c r="A179" s="19" t="s">
        <v>726</v>
      </c>
      <c r="B179" s="22" t="s">
        <v>210</v>
      </c>
      <c r="C179" s="22" t="s">
        <v>59</v>
      </c>
      <c r="D179" s="22" t="s">
        <v>215</v>
      </c>
      <c r="E179" s="22" t="s">
        <v>3</v>
      </c>
      <c r="F179" s="22" t="s">
        <v>3</v>
      </c>
      <c r="G179" s="3" t="s">
        <v>230</v>
      </c>
      <c r="H179" s="5">
        <f>485000+90000</f>
        <v>575000</v>
      </c>
      <c r="I179" s="22" t="s">
        <v>681</v>
      </c>
      <c r="J179" s="5" t="s">
        <v>102</v>
      </c>
    </row>
    <row r="180" spans="1:10" ht="30">
      <c r="A180" s="19" t="s">
        <v>727</v>
      </c>
      <c r="B180" s="22" t="s">
        <v>210</v>
      </c>
      <c r="C180" s="22" t="s">
        <v>59</v>
      </c>
      <c r="D180" s="22" t="s">
        <v>215</v>
      </c>
      <c r="E180" s="22" t="s">
        <v>3</v>
      </c>
      <c r="F180" s="22" t="s">
        <v>3</v>
      </c>
      <c r="G180" s="3" t="s">
        <v>232</v>
      </c>
      <c r="H180" s="5">
        <f>242500+120000-50000</f>
        <v>312500</v>
      </c>
      <c r="I180" s="22" t="s">
        <v>681</v>
      </c>
      <c r="J180" s="5" t="s">
        <v>102</v>
      </c>
    </row>
    <row r="181" spans="1:10" ht="30">
      <c r="A181" s="19" t="s">
        <v>728</v>
      </c>
      <c r="B181" s="22" t="s">
        <v>210</v>
      </c>
      <c r="C181" s="22" t="s">
        <v>59</v>
      </c>
      <c r="D181" s="22" t="s">
        <v>215</v>
      </c>
      <c r="E181" s="22" t="s">
        <v>3</v>
      </c>
      <c r="F181" s="22" t="s">
        <v>3</v>
      </c>
      <c r="G181" s="3" t="s">
        <v>233</v>
      </c>
      <c r="H181" s="5">
        <v>175000</v>
      </c>
      <c r="I181" s="22" t="s">
        <v>681</v>
      </c>
      <c r="J181" s="5" t="s">
        <v>102</v>
      </c>
    </row>
    <row r="182" spans="1:10" ht="45">
      <c r="A182" s="19" t="s">
        <v>729</v>
      </c>
      <c r="B182" s="22" t="s">
        <v>210</v>
      </c>
      <c r="C182" s="22" t="s">
        <v>59</v>
      </c>
      <c r="D182" s="22" t="s">
        <v>784</v>
      </c>
      <c r="E182" s="22" t="s">
        <v>3</v>
      </c>
      <c r="F182" s="22" t="s">
        <v>3</v>
      </c>
      <c r="G182" s="3" t="s">
        <v>785</v>
      </c>
      <c r="H182" s="5">
        <v>240000</v>
      </c>
      <c r="I182" s="22" t="s">
        <v>681</v>
      </c>
      <c r="J182" s="5" t="s">
        <v>102</v>
      </c>
    </row>
    <row r="183" spans="1:10" ht="60">
      <c r="A183" s="19" t="s">
        <v>730</v>
      </c>
      <c r="B183" s="22" t="s">
        <v>210</v>
      </c>
      <c r="C183" s="22" t="s">
        <v>59</v>
      </c>
      <c r="D183" s="22" t="s">
        <v>784</v>
      </c>
      <c r="E183" s="22" t="s">
        <v>3</v>
      </c>
      <c r="F183" s="22" t="s">
        <v>3</v>
      </c>
      <c r="G183" s="3" t="s">
        <v>222</v>
      </c>
      <c r="H183" s="5">
        <v>240000</v>
      </c>
      <c r="I183" s="22" t="s">
        <v>681</v>
      </c>
      <c r="J183" s="5" t="s">
        <v>102</v>
      </c>
    </row>
    <row r="184" spans="1:10" ht="30">
      <c r="A184" s="19" t="s">
        <v>731</v>
      </c>
      <c r="B184" s="22" t="s">
        <v>210</v>
      </c>
      <c r="C184" s="22" t="s">
        <v>59</v>
      </c>
      <c r="D184" s="22" t="s">
        <v>784</v>
      </c>
      <c r="E184" s="22" t="s">
        <v>3</v>
      </c>
      <c r="F184" s="22" t="s">
        <v>3</v>
      </c>
      <c r="G184" s="3" t="s">
        <v>253</v>
      </c>
      <c r="H184" s="5">
        <v>240000</v>
      </c>
      <c r="I184" s="22" t="s">
        <v>681</v>
      </c>
      <c r="J184" s="5" t="s">
        <v>102</v>
      </c>
    </row>
    <row r="185" spans="1:10" ht="45">
      <c r="A185" s="19" t="s">
        <v>732</v>
      </c>
      <c r="B185" s="22" t="s">
        <v>210</v>
      </c>
      <c r="C185" s="22" t="s">
        <v>59</v>
      </c>
      <c r="D185" s="22" t="s">
        <v>784</v>
      </c>
      <c r="E185" s="22" t="s">
        <v>3</v>
      </c>
      <c r="F185" s="22" t="s">
        <v>3</v>
      </c>
      <c r="G185" s="3" t="s">
        <v>231</v>
      </c>
      <c r="H185" s="5">
        <v>0</v>
      </c>
      <c r="I185" s="22" t="s">
        <v>681</v>
      </c>
      <c r="J185" s="5" t="s">
        <v>102</v>
      </c>
    </row>
    <row r="186" spans="1:10" ht="30">
      <c r="A186" s="19" t="s">
        <v>733</v>
      </c>
      <c r="B186" s="22" t="s">
        <v>210</v>
      </c>
      <c r="C186" s="22" t="s">
        <v>59</v>
      </c>
      <c r="D186" s="22" t="s">
        <v>786</v>
      </c>
      <c r="E186" s="22" t="s">
        <v>3</v>
      </c>
      <c r="F186" s="22" t="s">
        <v>3</v>
      </c>
      <c r="G186" s="3" t="s">
        <v>216</v>
      </c>
      <c r="H186" s="5">
        <v>167500</v>
      </c>
      <c r="I186" s="22" t="s">
        <v>681</v>
      </c>
      <c r="J186" s="5" t="s">
        <v>102</v>
      </c>
    </row>
    <row r="187" spans="1:10" ht="30">
      <c r="A187" s="19" t="s">
        <v>734</v>
      </c>
      <c r="B187" s="22" t="s">
        <v>210</v>
      </c>
      <c r="C187" s="22" t="s">
        <v>59</v>
      </c>
      <c r="D187" s="22" t="s">
        <v>786</v>
      </c>
      <c r="E187" s="22" t="s">
        <v>3</v>
      </c>
      <c r="F187" s="22" t="s">
        <v>3</v>
      </c>
      <c r="G187" s="3" t="s">
        <v>217</v>
      </c>
      <c r="H187" s="5">
        <v>167500</v>
      </c>
      <c r="I187" s="22" t="s">
        <v>681</v>
      </c>
      <c r="J187" s="5" t="s">
        <v>102</v>
      </c>
    </row>
    <row r="188" spans="1:10" ht="30">
      <c r="A188" s="19" t="s">
        <v>735</v>
      </c>
      <c r="B188" s="22" t="s">
        <v>210</v>
      </c>
      <c r="C188" s="22" t="s">
        <v>59</v>
      </c>
      <c r="D188" s="22" t="s">
        <v>786</v>
      </c>
      <c r="E188" s="22" t="s">
        <v>3</v>
      </c>
      <c r="F188" s="22" t="s">
        <v>3</v>
      </c>
      <c r="G188" s="3" t="s">
        <v>218</v>
      </c>
      <c r="H188" s="5">
        <v>167500</v>
      </c>
      <c r="I188" s="22" t="s">
        <v>681</v>
      </c>
      <c r="J188" s="5" t="s">
        <v>102</v>
      </c>
    </row>
    <row r="189" spans="1:10" ht="30">
      <c r="A189" s="19" t="s">
        <v>736</v>
      </c>
      <c r="B189" s="22" t="s">
        <v>210</v>
      </c>
      <c r="C189" s="22" t="s">
        <v>59</v>
      </c>
      <c r="D189" s="22" t="s">
        <v>786</v>
      </c>
      <c r="E189" s="22" t="s">
        <v>3</v>
      </c>
      <c r="F189" s="22" t="s">
        <v>3</v>
      </c>
      <c r="G189" s="3" t="s">
        <v>219</v>
      </c>
      <c r="H189" s="5">
        <v>167500</v>
      </c>
      <c r="I189" s="22" t="s">
        <v>681</v>
      </c>
      <c r="J189" s="5" t="s">
        <v>102</v>
      </c>
    </row>
    <row r="190" spans="1:10" ht="30">
      <c r="A190" s="19" t="s">
        <v>737</v>
      </c>
      <c r="B190" s="22" t="s">
        <v>210</v>
      </c>
      <c r="C190" s="22" t="s">
        <v>59</v>
      </c>
      <c r="D190" s="22" t="s">
        <v>786</v>
      </c>
      <c r="E190" s="22" t="s">
        <v>3</v>
      </c>
      <c r="F190" s="22" t="s">
        <v>3</v>
      </c>
      <c r="G190" s="3" t="s">
        <v>292</v>
      </c>
      <c r="H190" s="5">
        <v>167500</v>
      </c>
      <c r="I190" s="22" t="s">
        <v>681</v>
      </c>
      <c r="J190" s="5" t="s">
        <v>102</v>
      </c>
    </row>
    <row r="191" spans="1:10" ht="30">
      <c r="A191" s="19" t="s">
        <v>738</v>
      </c>
      <c r="B191" s="22" t="s">
        <v>210</v>
      </c>
      <c r="C191" s="22" t="s">
        <v>59</v>
      </c>
      <c r="D191" s="22" t="s">
        <v>786</v>
      </c>
      <c r="E191" s="22" t="s">
        <v>3</v>
      </c>
      <c r="F191" s="22" t="s">
        <v>3</v>
      </c>
      <c r="G191" s="3" t="s">
        <v>221</v>
      </c>
      <c r="H191" s="5">
        <v>167500</v>
      </c>
      <c r="I191" s="22" t="s">
        <v>681</v>
      </c>
      <c r="J191" s="5" t="s">
        <v>102</v>
      </c>
    </row>
    <row r="192" spans="1:10" ht="30">
      <c r="A192" s="19" t="s">
        <v>739</v>
      </c>
      <c r="B192" s="22" t="s">
        <v>210</v>
      </c>
      <c r="C192" s="22" t="s">
        <v>59</v>
      </c>
      <c r="D192" s="22" t="s">
        <v>786</v>
      </c>
      <c r="E192" s="22" t="s">
        <v>3</v>
      </c>
      <c r="F192" s="22" t="s">
        <v>3</v>
      </c>
      <c r="G192" s="3" t="s">
        <v>223</v>
      </c>
      <c r="H192" s="5">
        <v>167500</v>
      </c>
      <c r="I192" s="22" t="s">
        <v>681</v>
      </c>
      <c r="J192" s="5" t="s">
        <v>102</v>
      </c>
    </row>
    <row r="193" spans="1:10" ht="30">
      <c r="A193" s="19" t="s">
        <v>740</v>
      </c>
      <c r="B193" s="22" t="s">
        <v>210</v>
      </c>
      <c r="C193" s="22" t="s">
        <v>59</v>
      </c>
      <c r="D193" s="22" t="s">
        <v>786</v>
      </c>
      <c r="E193" s="22" t="s">
        <v>3</v>
      </c>
      <c r="F193" s="22" t="s">
        <v>3</v>
      </c>
      <c r="G193" s="3" t="s">
        <v>225</v>
      </c>
      <c r="H193" s="5">
        <v>167500</v>
      </c>
      <c r="I193" s="22" t="s">
        <v>681</v>
      </c>
      <c r="J193" s="5" t="s">
        <v>102</v>
      </c>
    </row>
    <row r="194" spans="1:10" ht="30">
      <c r="A194" s="19" t="s">
        <v>741</v>
      </c>
      <c r="B194" s="22" t="s">
        <v>210</v>
      </c>
      <c r="C194" s="22" t="s">
        <v>59</v>
      </c>
      <c r="D194" s="22" t="s">
        <v>786</v>
      </c>
      <c r="E194" s="22" t="s">
        <v>3</v>
      </c>
      <c r="F194" s="22" t="s">
        <v>3</v>
      </c>
      <c r="G194" s="3" t="s">
        <v>229</v>
      </c>
      <c r="H194" s="5">
        <v>167500</v>
      </c>
      <c r="I194" s="22" t="s">
        <v>681</v>
      </c>
      <c r="J194" s="5" t="s">
        <v>102</v>
      </c>
    </row>
    <row r="195" spans="1:10" ht="30">
      <c r="A195" s="19" t="s">
        <v>742</v>
      </c>
      <c r="B195" s="22" t="s">
        <v>210</v>
      </c>
      <c r="C195" s="22" t="s">
        <v>59</v>
      </c>
      <c r="D195" s="22" t="s">
        <v>786</v>
      </c>
      <c r="E195" s="22" t="s">
        <v>3</v>
      </c>
      <c r="F195" s="22" t="s">
        <v>3</v>
      </c>
      <c r="G195" s="3" t="s">
        <v>232</v>
      </c>
      <c r="H195" s="5">
        <v>167500</v>
      </c>
      <c r="I195" s="22" t="s">
        <v>681</v>
      </c>
      <c r="J195" s="5" t="s">
        <v>102</v>
      </c>
    </row>
    <row r="196" spans="1:10" ht="45">
      <c r="A196" s="19" t="s">
        <v>743</v>
      </c>
      <c r="B196" s="22" t="s">
        <v>210</v>
      </c>
      <c r="C196" s="22" t="s">
        <v>59</v>
      </c>
      <c r="D196" s="22" t="s">
        <v>787</v>
      </c>
      <c r="E196" s="3" t="s">
        <v>3</v>
      </c>
      <c r="F196" s="3" t="s">
        <v>3</v>
      </c>
      <c r="G196" s="3" t="s">
        <v>226</v>
      </c>
      <c r="H196" s="5">
        <v>167500</v>
      </c>
      <c r="I196" s="22" t="s">
        <v>681</v>
      </c>
      <c r="J196" s="5" t="s">
        <v>102</v>
      </c>
    </row>
    <row r="197" spans="1:10" ht="45">
      <c r="A197" s="19" t="s">
        <v>744</v>
      </c>
      <c r="B197" s="22" t="s">
        <v>210</v>
      </c>
      <c r="C197" s="22" t="s">
        <v>59</v>
      </c>
      <c r="D197" s="22" t="s">
        <v>787</v>
      </c>
      <c r="E197" s="3" t="s">
        <v>3</v>
      </c>
      <c r="F197" s="3" t="s">
        <v>3</v>
      </c>
      <c r="G197" s="3" t="s">
        <v>228</v>
      </c>
      <c r="H197" s="5">
        <v>167500</v>
      </c>
      <c r="I197" s="22" t="s">
        <v>681</v>
      </c>
      <c r="J197" s="5" t="s">
        <v>102</v>
      </c>
    </row>
    <row r="198" spans="1:10" ht="45">
      <c r="A198" s="19" t="s">
        <v>745</v>
      </c>
      <c r="B198" s="22" t="s">
        <v>210</v>
      </c>
      <c r="C198" s="22" t="s">
        <v>59</v>
      </c>
      <c r="D198" s="22" t="s">
        <v>787</v>
      </c>
      <c r="E198" s="22" t="s">
        <v>3</v>
      </c>
      <c r="F198" s="22" t="s">
        <v>3</v>
      </c>
      <c r="G198" s="3" t="s">
        <v>233</v>
      </c>
      <c r="H198" s="5">
        <v>167500</v>
      </c>
      <c r="I198" s="22" t="s">
        <v>681</v>
      </c>
      <c r="J198" s="5" t="s">
        <v>102</v>
      </c>
    </row>
    <row r="199" spans="1:10" ht="30">
      <c r="A199" s="19" t="s">
        <v>746</v>
      </c>
      <c r="B199" s="17" t="s">
        <v>214</v>
      </c>
      <c r="C199" s="22" t="s">
        <v>59</v>
      </c>
      <c r="D199" s="22" t="s">
        <v>789</v>
      </c>
      <c r="E199" s="22" t="s">
        <v>100</v>
      </c>
      <c r="F199" s="22">
        <v>4</v>
      </c>
      <c r="G199" s="3" t="s">
        <v>211</v>
      </c>
      <c r="H199" s="5">
        <v>280000</v>
      </c>
      <c r="I199" s="22" t="s">
        <v>681</v>
      </c>
      <c r="J199" s="5" t="s">
        <v>102</v>
      </c>
    </row>
    <row r="200" spans="1:10" ht="30">
      <c r="A200" s="19" t="s">
        <v>747</v>
      </c>
      <c r="B200" s="19" t="s">
        <v>214</v>
      </c>
      <c r="C200" s="22" t="s">
        <v>59</v>
      </c>
      <c r="D200" s="22" t="s">
        <v>789</v>
      </c>
      <c r="E200" s="22" t="s">
        <v>100</v>
      </c>
      <c r="F200" s="22">
        <v>4</v>
      </c>
      <c r="G200" s="3" t="s">
        <v>218</v>
      </c>
      <c r="H200" s="5">
        <v>104000</v>
      </c>
      <c r="I200" s="22" t="s">
        <v>681</v>
      </c>
      <c r="J200" s="5" t="s">
        <v>102</v>
      </c>
    </row>
    <row r="201" spans="1:10" ht="30">
      <c r="A201" s="19" t="s">
        <v>748</v>
      </c>
      <c r="B201" s="17" t="s">
        <v>214</v>
      </c>
      <c r="C201" s="22" t="s">
        <v>59</v>
      </c>
      <c r="D201" s="22" t="s">
        <v>790</v>
      </c>
      <c r="E201" s="22" t="s">
        <v>100</v>
      </c>
      <c r="F201" s="22">
        <v>4</v>
      </c>
      <c r="G201" s="51" t="s">
        <v>218</v>
      </c>
      <c r="H201" s="5">
        <v>240000</v>
      </c>
      <c r="I201" s="22" t="s">
        <v>681</v>
      </c>
      <c r="J201" s="5" t="s">
        <v>102</v>
      </c>
    </row>
    <row r="202" spans="1:10" ht="30">
      <c r="A202" s="19" t="s">
        <v>749</v>
      </c>
      <c r="B202" s="17" t="s">
        <v>214</v>
      </c>
      <c r="C202" s="22" t="s">
        <v>59</v>
      </c>
      <c r="D202" s="22" t="s">
        <v>789</v>
      </c>
      <c r="E202" s="22" t="s">
        <v>100</v>
      </c>
      <c r="F202" s="22">
        <v>4</v>
      </c>
      <c r="G202" s="51" t="s">
        <v>229</v>
      </c>
      <c r="H202" s="5">
        <v>216000</v>
      </c>
      <c r="I202" s="22" t="s">
        <v>681</v>
      </c>
      <c r="J202" s="5" t="s">
        <v>102</v>
      </c>
    </row>
    <row r="203" spans="1:10" ht="30">
      <c r="A203" s="19" t="s">
        <v>750</v>
      </c>
      <c r="B203" s="17" t="s">
        <v>214</v>
      </c>
      <c r="C203" s="22" t="s">
        <v>59</v>
      </c>
      <c r="D203" s="22" t="s">
        <v>790</v>
      </c>
      <c r="E203" s="22" t="s">
        <v>100</v>
      </c>
      <c r="F203" s="22">
        <v>4</v>
      </c>
      <c r="G203" s="51" t="s">
        <v>229</v>
      </c>
      <c r="H203" s="5">
        <f>240000-142857.14</f>
        <v>97142.859999999986</v>
      </c>
      <c r="I203" s="22" t="s">
        <v>681</v>
      </c>
      <c r="J203" s="5" t="s">
        <v>102</v>
      </c>
    </row>
    <row r="204" spans="1:10" ht="30">
      <c r="A204" s="19" t="s">
        <v>751</v>
      </c>
      <c r="B204" s="17" t="s">
        <v>214</v>
      </c>
      <c r="C204" s="22" t="s">
        <v>59</v>
      </c>
      <c r="D204" s="22" t="s">
        <v>791</v>
      </c>
      <c r="E204" s="22" t="s">
        <v>100</v>
      </c>
      <c r="F204" s="22">
        <v>4</v>
      </c>
      <c r="G204" s="51" t="s">
        <v>211</v>
      </c>
      <c r="H204" s="5">
        <f>280000-50000-71428.57</f>
        <v>158571.43</v>
      </c>
      <c r="I204" s="22" t="s">
        <v>681</v>
      </c>
      <c r="J204" s="5" t="s">
        <v>102</v>
      </c>
    </row>
    <row r="205" spans="1:10" ht="30">
      <c r="A205" s="19" t="s">
        <v>752</v>
      </c>
      <c r="B205" s="17" t="s">
        <v>214</v>
      </c>
      <c r="C205" s="22" t="s">
        <v>59</v>
      </c>
      <c r="D205" s="22" t="s">
        <v>791</v>
      </c>
      <c r="E205" s="22" t="s">
        <v>100</v>
      </c>
      <c r="F205" s="22">
        <v>4</v>
      </c>
      <c r="G205" s="3" t="s">
        <v>217</v>
      </c>
      <c r="H205" s="5">
        <v>280000</v>
      </c>
      <c r="I205" s="22" t="s">
        <v>681</v>
      </c>
      <c r="J205" s="5" t="s">
        <v>102</v>
      </c>
    </row>
    <row r="206" spans="1:10" ht="30">
      <c r="A206" s="19" t="s">
        <v>753</v>
      </c>
      <c r="B206" s="17" t="s">
        <v>214</v>
      </c>
      <c r="C206" s="22" t="s">
        <v>59</v>
      </c>
      <c r="D206" s="22" t="s">
        <v>791</v>
      </c>
      <c r="E206" s="22" t="s">
        <v>100</v>
      </c>
      <c r="F206" s="22">
        <v>4</v>
      </c>
      <c r="G206" s="3" t="s">
        <v>217</v>
      </c>
      <c r="H206" s="5">
        <v>280000</v>
      </c>
      <c r="I206" s="22" t="s">
        <v>681</v>
      </c>
      <c r="J206" s="5" t="s">
        <v>102</v>
      </c>
    </row>
    <row r="207" spans="1:10" ht="30">
      <c r="A207" s="19" t="s">
        <v>754</v>
      </c>
      <c r="B207" s="17" t="s">
        <v>214</v>
      </c>
      <c r="C207" s="22" t="s">
        <v>59</v>
      </c>
      <c r="D207" s="22" t="s">
        <v>792</v>
      </c>
      <c r="E207" s="22" t="s">
        <v>100</v>
      </c>
      <c r="F207" s="22">
        <v>4</v>
      </c>
      <c r="G207" s="3" t="s">
        <v>218</v>
      </c>
      <c r="H207" s="5">
        <v>104000</v>
      </c>
      <c r="I207" s="22" t="s">
        <v>681</v>
      </c>
      <c r="J207" s="5" t="s">
        <v>102</v>
      </c>
    </row>
    <row r="208" spans="1:10" ht="30">
      <c r="A208" s="19" t="s">
        <v>755</v>
      </c>
      <c r="B208" s="17" t="s">
        <v>214</v>
      </c>
      <c r="C208" s="22" t="s">
        <v>59</v>
      </c>
      <c r="D208" s="22" t="s">
        <v>791</v>
      </c>
      <c r="E208" s="22" t="s">
        <v>100</v>
      </c>
      <c r="F208" s="22">
        <v>4</v>
      </c>
      <c r="G208" s="22" t="s">
        <v>218</v>
      </c>
      <c r="H208" s="5">
        <v>240000</v>
      </c>
      <c r="I208" s="22" t="s">
        <v>681</v>
      </c>
      <c r="J208" s="5" t="s">
        <v>102</v>
      </c>
    </row>
    <row r="209" spans="1:10" ht="45">
      <c r="A209" s="19" t="s">
        <v>756</v>
      </c>
      <c r="B209" s="17" t="s">
        <v>214</v>
      </c>
      <c r="C209" s="22" t="s">
        <v>59</v>
      </c>
      <c r="D209" s="22" t="s">
        <v>792</v>
      </c>
      <c r="E209" s="22" t="s">
        <v>100</v>
      </c>
      <c r="F209" s="22">
        <v>4</v>
      </c>
      <c r="G209" s="3" t="s">
        <v>793</v>
      </c>
      <c r="H209" s="5">
        <v>240000</v>
      </c>
      <c r="I209" s="22" t="s">
        <v>681</v>
      </c>
      <c r="J209" s="5" t="s">
        <v>102</v>
      </c>
    </row>
    <row r="210" spans="1:10" ht="45">
      <c r="A210" s="19" t="s">
        <v>757</v>
      </c>
      <c r="B210" s="17" t="s">
        <v>214</v>
      </c>
      <c r="C210" s="22" t="s">
        <v>59</v>
      </c>
      <c r="D210" s="22" t="s">
        <v>791</v>
      </c>
      <c r="E210" s="22" t="s">
        <v>100</v>
      </c>
      <c r="F210" s="22">
        <v>4</v>
      </c>
      <c r="G210" s="22" t="s">
        <v>793</v>
      </c>
      <c r="H210" s="5">
        <v>260000</v>
      </c>
      <c r="I210" s="22" t="s">
        <v>681</v>
      </c>
      <c r="J210" s="5" t="s">
        <v>102</v>
      </c>
    </row>
    <row r="211" spans="1:10" ht="30">
      <c r="A211" s="19" t="s">
        <v>758</v>
      </c>
      <c r="B211" s="17" t="s">
        <v>214</v>
      </c>
      <c r="C211" s="22" t="s">
        <v>59</v>
      </c>
      <c r="D211" s="22" t="s">
        <v>791</v>
      </c>
      <c r="E211" s="22" t="s">
        <v>100</v>
      </c>
      <c r="F211" s="22">
        <v>4</v>
      </c>
      <c r="G211" s="3" t="s">
        <v>223</v>
      </c>
      <c r="H211" s="5">
        <v>134286</v>
      </c>
      <c r="I211" s="22" t="s">
        <v>681</v>
      </c>
      <c r="J211" s="5" t="s">
        <v>102</v>
      </c>
    </row>
    <row r="212" spans="1:10" ht="30">
      <c r="A212" s="19" t="s">
        <v>759</v>
      </c>
      <c r="B212" s="3" t="s">
        <v>214</v>
      </c>
      <c r="C212" s="22" t="s">
        <v>59</v>
      </c>
      <c r="D212" s="22" t="s">
        <v>792</v>
      </c>
      <c r="E212" s="22" t="s">
        <v>100</v>
      </c>
      <c r="F212" s="22">
        <v>4</v>
      </c>
      <c r="G212" s="3" t="s">
        <v>226</v>
      </c>
      <c r="H212" s="5">
        <v>250000</v>
      </c>
      <c r="I212" s="22" t="s">
        <v>681</v>
      </c>
      <c r="J212" s="5" t="s">
        <v>102</v>
      </c>
    </row>
    <row r="213" spans="1:10" ht="30">
      <c r="A213" s="19" t="s">
        <v>760</v>
      </c>
      <c r="B213" s="22" t="s">
        <v>214</v>
      </c>
      <c r="C213" s="22" t="s">
        <v>59</v>
      </c>
      <c r="D213" s="22" t="s">
        <v>791</v>
      </c>
      <c r="E213" s="22" t="s">
        <v>100</v>
      </c>
      <c r="F213" s="22">
        <v>4</v>
      </c>
      <c r="G213" s="3" t="s">
        <v>228</v>
      </c>
      <c r="H213" s="5">
        <v>250000</v>
      </c>
      <c r="I213" s="22" t="s">
        <v>681</v>
      </c>
      <c r="J213" s="5" t="s">
        <v>102</v>
      </c>
    </row>
    <row r="214" spans="1:10" ht="30">
      <c r="A214" s="19" t="s">
        <v>761</v>
      </c>
      <c r="B214" s="22" t="s">
        <v>214</v>
      </c>
      <c r="C214" s="22" t="s">
        <v>59</v>
      </c>
      <c r="D214" s="22" t="s">
        <v>792</v>
      </c>
      <c r="E214" s="22" t="s">
        <v>100</v>
      </c>
      <c r="F214" s="22">
        <v>4</v>
      </c>
      <c r="G214" s="51" t="s">
        <v>229</v>
      </c>
      <c r="H214" s="5">
        <f>216000-142857.14</f>
        <v>73142.859999999986</v>
      </c>
      <c r="I214" s="22" t="s">
        <v>681</v>
      </c>
      <c r="J214" s="5" t="s">
        <v>102</v>
      </c>
    </row>
    <row r="215" spans="1:10" ht="30">
      <c r="A215" s="19" t="s">
        <v>762</v>
      </c>
      <c r="B215" s="22" t="s">
        <v>214</v>
      </c>
      <c r="C215" s="22" t="s">
        <v>59</v>
      </c>
      <c r="D215" s="22" t="s">
        <v>791</v>
      </c>
      <c r="E215" s="22" t="s">
        <v>100</v>
      </c>
      <c r="F215" s="22">
        <v>4</v>
      </c>
      <c r="G215" s="22" t="s">
        <v>229</v>
      </c>
      <c r="H215" s="5">
        <f>240000-142857.14</f>
        <v>97142.859999999986</v>
      </c>
      <c r="I215" s="22" t="s">
        <v>681</v>
      </c>
      <c r="J215" s="5" t="s">
        <v>102</v>
      </c>
    </row>
    <row r="216" spans="1:10" ht="30">
      <c r="A216" s="19" t="s">
        <v>763</v>
      </c>
      <c r="B216" s="22" t="s">
        <v>214</v>
      </c>
      <c r="C216" s="22" t="s">
        <v>59</v>
      </c>
      <c r="D216" s="22" t="s">
        <v>792</v>
      </c>
      <c r="E216" s="22" t="s">
        <v>100</v>
      </c>
      <c r="F216" s="22">
        <v>8</v>
      </c>
      <c r="G216" s="3" t="s">
        <v>232</v>
      </c>
      <c r="H216" s="5">
        <f>280000+250000</f>
        <v>530000</v>
      </c>
      <c r="I216" s="22" t="s">
        <v>681</v>
      </c>
      <c r="J216" s="5" t="s">
        <v>102</v>
      </c>
    </row>
    <row r="217" spans="1:10" ht="30">
      <c r="A217" s="19" t="s">
        <v>3227</v>
      </c>
      <c r="B217" s="22" t="s">
        <v>214</v>
      </c>
      <c r="C217" s="22" t="s">
        <v>59</v>
      </c>
      <c r="D217" s="22" t="s">
        <v>792</v>
      </c>
      <c r="E217" s="22" t="s">
        <v>100</v>
      </c>
      <c r="F217" s="22">
        <v>4</v>
      </c>
      <c r="G217" s="22" t="s">
        <v>227</v>
      </c>
      <c r="H217" s="5">
        <v>142857.14000000001</v>
      </c>
      <c r="I217" s="22" t="s">
        <v>680</v>
      </c>
      <c r="J217" s="5" t="s">
        <v>102</v>
      </c>
    </row>
    <row r="218" spans="1:10" ht="30">
      <c r="A218" s="19" t="s">
        <v>3228</v>
      </c>
      <c r="B218" s="22" t="s">
        <v>214</v>
      </c>
      <c r="C218" s="22" t="s">
        <v>59</v>
      </c>
      <c r="D218" s="22" t="s">
        <v>792</v>
      </c>
      <c r="E218" s="22" t="s">
        <v>100</v>
      </c>
      <c r="F218" s="22">
        <v>4</v>
      </c>
      <c r="G218" s="22" t="s">
        <v>230</v>
      </c>
      <c r="H218" s="5">
        <v>142857.14000000001</v>
      </c>
      <c r="I218" s="22" t="s">
        <v>680</v>
      </c>
      <c r="J218" s="5" t="s">
        <v>102</v>
      </c>
    </row>
    <row r="219" spans="1:10" ht="30">
      <c r="A219" s="19" t="s">
        <v>3229</v>
      </c>
      <c r="B219" s="22" t="s">
        <v>214</v>
      </c>
      <c r="C219" s="22" t="s">
        <v>59</v>
      </c>
      <c r="D219" s="22" t="s">
        <v>792</v>
      </c>
      <c r="E219" s="22" t="s">
        <v>100</v>
      </c>
      <c r="F219" s="22">
        <v>4</v>
      </c>
      <c r="G219" s="22" t="s">
        <v>230</v>
      </c>
      <c r="H219" s="5">
        <v>142857.14000000001</v>
      </c>
      <c r="I219" s="22" t="s">
        <v>680</v>
      </c>
      <c r="J219" s="5" t="s">
        <v>102</v>
      </c>
    </row>
    <row r="220" spans="1:10" ht="30">
      <c r="A220" s="19" t="s">
        <v>3230</v>
      </c>
      <c r="B220" s="22" t="s">
        <v>214</v>
      </c>
      <c r="C220" s="22" t="s">
        <v>59</v>
      </c>
      <c r="D220" s="22" t="s">
        <v>791</v>
      </c>
      <c r="E220" s="22" t="s">
        <v>100</v>
      </c>
      <c r="F220" s="22">
        <v>4</v>
      </c>
      <c r="G220" s="51" t="s">
        <v>233</v>
      </c>
      <c r="H220" s="5">
        <v>178571.43</v>
      </c>
      <c r="I220" s="22" t="s">
        <v>680</v>
      </c>
      <c r="J220" s="5" t="s">
        <v>102</v>
      </c>
    </row>
    <row r="221" spans="1:10" ht="60">
      <c r="A221" s="19" t="s">
        <v>764</v>
      </c>
      <c r="B221" s="22" t="s">
        <v>214</v>
      </c>
      <c r="C221" s="22" t="s">
        <v>59</v>
      </c>
      <c r="D221" s="22" t="s">
        <v>794</v>
      </c>
      <c r="E221" s="22" t="s">
        <v>100</v>
      </c>
      <c r="F221" s="22">
        <v>4</v>
      </c>
      <c r="G221" s="3" t="s">
        <v>222</v>
      </c>
      <c r="H221" s="5">
        <v>240000</v>
      </c>
      <c r="I221" s="22" t="s">
        <v>681</v>
      </c>
      <c r="J221" s="5" t="s">
        <v>102</v>
      </c>
    </row>
    <row r="222" spans="1:10" ht="60">
      <c r="A222" s="19" t="s">
        <v>765</v>
      </c>
      <c r="B222" s="22" t="s">
        <v>214</v>
      </c>
      <c r="C222" s="22" t="s">
        <v>59</v>
      </c>
      <c r="D222" s="22" t="s">
        <v>795</v>
      </c>
      <c r="E222" s="22" t="s">
        <v>100</v>
      </c>
      <c r="F222" s="22">
        <v>4</v>
      </c>
      <c r="G222" s="22" t="s">
        <v>222</v>
      </c>
      <c r="H222" s="5">
        <v>260000</v>
      </c>
      <c r="I222" s="22" t="s">
        <v>681</v>
      </c>
      <c r="J222" s="5" t="s">
        <v>102</v>
      </c>
    </row>
    <row r="223" spans="1:10" ht="30">
      <c r="A223" s="19" t="s">
        <v>766</v>
      </c>
      <c r="B223" s="22" t="s">
        <v>214</v>
      </c>
      <c r="C223" s="22" t="s">
        <v>59</v>
      </c>
      <c r="D223" s="22" t="s">
        <v>796</v>
      </c>
      <c r="E223" s="22" t="s">
        <v>100</v>
      </c>
      <c r="F223" s="22">
        <v>4</v>
      </c>
      <c r="G223" s="3" t="s">
        <v>218</v>
      </c>
      <c r="H223" s="5">
        <v>60000</v>
      </c>
      <c r="I223" s="22" t="s">
        <v>681</v>
      </c>
      <c r="J223" s="5" t="s">
        <v>102</v>
      </c>
    </row>
    <row r="224" spans="1:10" ht="30">
      <c r="A224" s="19" t="s">
        <v>767</v>
      </c>
      <c r="B224" s="22" t="s">
        <v>214</v>
      </c>
      <c r="C224" s="22" t="s">
        <v>59</v>
      </c>
      <c r="D224" s="22" t="s">
        <v>798</v>
      </c>
      <c r="E224" s="22" t="s">
        <v>100</v>
      </c>
      <c r="F224" s="22">
        <v>4</v>
      </c>
      <c r="G224" s="22" t="s">
        <v>218</v>
      </c>
      <c r="H224" s="5">
        <v>80000</v>
      </c>
      <c r="I224" s="22" t="s">
        <v>681</v>
      </c>
      <c r="J224" s="5" t="s">
        <v>102</v>
      </c>
    </row>
    <row r="225" spans="1:10" ht="45">
      <c r="A225" s="19" t="s">
        <v>768</v>
      </c>
      <c r="B225" s="22" t="s">
        <v>214</v>
      </c>
      <c r="C225" s="22" t="s">
        <v>59</v>
      </c>
      <c r="D225" s="22" t="s">
        <v>798</v>
      </c>
      <c r="E225" s="22" t="s">
        <v>100</v>
      </c>
      <c r="F225" s="22">
        <v>4</v>
      </c>
      <c r="G225" s="51" t="s">
        <v>649</v>
      </c>
      <c r="H225" s="5">
        <v>48000</v>
      </c>
      <c r="I225" s="22" t="s">
        <v>681</v>
      </c>
      <c r="J225" s="5" t="s">
        <v>102</v>
      </c>
    </row>
    <row r="226" spans="1:10" ht="45">
      <c r="A226" s="19" t="s">
        <v>769</v>
      </c>
      <c r="B226" s="22" t="s">
        <v>214</v>
      </c>
      <c r="C226" s="22" t="s">
        <v>59</v>
      </c>
      <c r="D226" s="22" t="s">
        <v>796</v>
      </c>
      <c r="E226" s="22" t="s">
        <v>100</v>
      </c>
      <c r="F226" s="22">
        <v>4</v>
      </c>
      <c r="G226" s="51" t="s">
        <v>649</v>
      </c>
      <c r="H226" s="5">
        <v>60000</v>
      </c>
      <c r="I226" s="22" t="s">
        <v>681</v>
      </c>
      <c r="J226" s="5" t="s">
        <v>102</v>
      </c>
    </row>
    <row r="227" spans="1:10" ht="30">
      <c r="A227" s="19" t="s">
        <v>770</v>
      </c>
      <c r="B227" s="22" t="s">
        <v>214</v>
      </c>
      <c r="C227" s="22" t="s">
        <v>59</v>
      </c>
      <c r="D227" s="22" t="s">
        <v>796</v>
      </c>
      <c r="E227" s="22" t="s">
        <v>100</v>
      </c>
      <c r="F227" s="22">
        <v>4</v>
      </c>
      <c r="G227" s="51" t="s">
        <v>221</v>
      </c>
      <c r="H227" s="5">
        <v>60000</v>
      </c>
      <c r="I227" s="22" t="s">
        <v>681</v>
      </c>
      <c r="J227" s="5" t="s">
        <v>102</v>
      </c>
    </row>
    <row r="228" spans="1:10" ht="30">
      <c r="A228" s="19" t="s">
        <v>771</v>
      </c>
      <c r="B228" s="22" t="s">
        <v>214</v>
      </c>
      <c r="C228" s="22" t="s">
        <v>59</v>
      </c>
      <c r="D228" s="22" t="s">
        <v>798</v>
      </c>
      <c r="E228" s="22" t="s">
        <v>100</v>
      </c>
      <c r="F228" s="22">
        <v>4</v>
      </c>
      <c r="G228" s="51" t="s">
        <v>221</v>
      </c>
      <c r="H228" s="5">
        <v>72000</v>
      </c>
      <c r="I228" s="22" t="s">
        <v>681</v>
      </c>
      <c r="J228" s="5" t="s">
        <v>102</v>
      </c>
    </row>
    <row r="229" spans="1:10" ht="30">
      <c r="A229" s="19" t="s">
        <v>772</v>
      </c>
      <c r="B229" s="22" t="s">
        <v>214</v>
      </c>
      <c r="C229" s="22" t="s">
        <v>59</v>
      </c>
      <c r="D229" s="22" t="s">
        <v>797</v>
      </c>
      <c r="E229" s="22" t="s">
        <v>100</v>
      </c>
      <c r="F229" s="22">
        <v>4</v>
      </c>
      <c r="G229" s="22" t="s">
        <v>221</v>
      </c>
      <c r="H229" s="5">
        <v>100000</v>
      </c>
      <c r="I229" s="22" t="s">
        <v>681</v>
      </c>
      <c r="J229" s="5" t="s">
        <v>102</v>
      </c>
    </row>
    <row r="230" spans="1:10" ht="30">
      <c r="A230" s="19" t="s">
        <v>773</v>
      </c>
      <c r="B230" s="22" t="s">
        <v>214</v>
      </c>
      <c r="C230" s="22" t="s">
        <v>59</v>
      </c>
      <c r="D230" s="22" t="s">
        <v>799</v>
      </c>
      <c r="E230" s="22" t="s">
        <v>100</v>
      </c>
      <c r="F230" s="22">
        <v>4</v>
      </c>
      <c r="G230" s="22" t="s">
        <v>221</v>
      </c>
      <c r="H230" s="5">
        <v>120000</v>
      </c>
      <c r="I230" s="22" t="s">
        <v>681</v>
      </c>
      <c r="J230" s="5" t="s">
        <v>102</v>
      </c>
    </row>
    <row r="231" spans="1:10" ht="60">
      <c r="A231" s="19" t="s">
        <v>774</v>
      </c>
      <c r="B231" s="22" t="s">
        <v>214</v>
      </c>
      <c r="C231" s="22" t="s">
        <v>59</v>
      </c>
      <c r="D231" s="22" t="s">
        <v>796</v>
      </c>
      <c r="E231" s="22" t="s">
        <v>100</v>
      </c>
      <c r="F231" s="22">
        <v>4</v>
      </c>
      <c r="G231" s="22" t="s">
        <v>222</v>
      </c>
      <c r="H231" s="5">
        <v>48000</v>
      </c>
      <c r="I231" s="22" t="s">
        <v>681</v>
      </c>
      <c r="J231" s="5" t="s">
        <v>102</v>
      </c>
    </row>
    <row r="232" spans="1:10" ht="60">
      <c r="A232" s="19" t="s">
        <v>775</v>
      </c>
      <c r="B232" s="22" t="s">
        <v>214</v>
      </c>
      <c r="C232" s="22" t="s">
        <v>59</v>
      </c>
      <c r="D232" s="22" t="s">
        <v>798</v>
      </c>
      <c r="E232" s="22" t="s">
        <v>100</v>
      </c>
      <c r="F232" s="22">
        <v>4</v>
      </c>
      <c r="G232" s="22" t="s">
        <v>222</v>
      </c>
      <c r="H232" s="5">
        <v>80000</v>
      </c>
      <c r="I232" s="22" t="s">
        <v>681</v>
      </c>
      <c r="J232" s="5" t="s">
        <v>102</v>
      </c>
    </row>
    <row r="233" spans="1:10" ht="30">
      <c r="A233" s="19" t="s">
        <v>776</v>
      </c>
      <c r="B233" s="22" t="s">
        <v>214</v>
      </c>
      <c r="C233" s="22" t="s">
        <v>59</v>
      </c>
      <c r="D233" s="22" t="s">
        <v>796</v>
      </c>
      <c r="E233" s="22" t="s">
        <v>100</v>
      </c>
      <c r="F233" s="22">
        <v>4</v>
      </c>
      <c r="G233" s="22" t="s">
        <v>229</v>
      </c>
      <c r="H233" s="5">
        <v>70000</v>
      </c>
      <c r="I233" s="22" t="s">
        <v>681</v>
      </c>
      <c r="J233" s="5" t="s">
        <v>102</v>
      </c>
    </row>
    <row r="234" spans="1:10" ht="30">
      <c r="A234" s="19" t="s">
        <v>777</v>
      </c>
      <c r="B234" s="22" t="s">
        <v>214</v>
      </c>
      <c r="C234" s="22" t="s">
        <v>59</v>
      </c>
      <c r="D234" s="22" t="s">
        <v>798</v>
      </c>
      <c r="E234" s="22" t="s">
        <v>100</v>
      </c>
      <c r="F234" s="22">
        <v>4</v>
      </c>
      <c r="G234" s="22" t="s">
        <v>229</v>
      </c>
      <c r="H234" s="5">
        <v>80000</v>
      </c>
      <c r="I234" s="22" t="s">
        <v>681</v>
      </c>
      <c r="J234" s="5" t="s">
        <v>102</v>
      </c>
    </row>
    <row r="235" spans="1:10" ht="30">
      <c r="A235" s="19" t="s">
        <v>778</v>
      </c>
      <c r="B235" s="22" t="s">
        <v>214</v>
      </c>
      <c r="C235" s="22" t="s">
        <v>59</v>
      </c>
      <c r="D235" s="22" t="s">
        <v>796</v>
      </c>
      <c r="E235" s="22" t="s">
        <v>100</v>
      </c>
      <c r="F235" s="22">
        <v>4</v>
      </c>
      <c r="G235" s="22" t="s">
        <v>230</v>
      </c>
      <c r="H235" s="5">
        <v>80000</v>
      </c>
      <c r="I235" s="22" t="s">
        <v>681</v>
      </c>
      <c r="J235" s="5" t="s">
        <v>102</v>
      </c>
    </row>
    <row r="236" spans="1:10" ht="30">
      <c r="A236" s="19" t="s">
        <v>779</v>
      </c>
      <c r="B236" s="22" t="s">
        <v>214</v>
      </c>
      <c r="C236" s="22" t="s">
        <v>59</v>
      </c>
      <c r="D236" s="22" t="s">
        <v>798</v>
      </c>
      <c r="E236" s="22" t="s">
        <v>100</v>
      </c>
      <c r="F236" s="22">
        <v>4</v>
      </c>
      <c r="G236" s="22" t="s">
        <v>228</v>
      </c>
      <c r="H236" s="5">
        <v>180000</v>
      </c>
      <c r="I236" s="22" t="s">
        <v>681</v>
      </c>
      <c r="J236" s="5" t="s">
        <v>102</v>
      </c>
    </row>
    <row r="237" spans="1:10" ht="30">
      <c r="A237" s="27" t="s">
        <v>3224</v>
      </c>
      <c r="B237" s="22" t="s">
        <v>214</v>
      </c>
      <c r="C237" s="22" t="s">
        <v>59</v>
      </c>
      <c r="D237" s="22" t="s">
        <v>796</v>
      </c>
      <c r="E237" s="22" t="s">
        <v>100</v>
      </c>
      <c r="F237" s="22">
        <v>4</v>
      </c>
      <c r="G237" s="51" t="s">
        <v>211</v>
      </c>
      <c r="H237" s="5">
        <v>50000</v>
      </c>
      <c r="I237" s="22" t="s">
        <v>680</v>
      </c>
      <c r="J237" s="5" t="s">
        <v>102</v>
      </c>
    </row>
    <row r="238" spans="1:10" ht="30">
      <c r="A238" s="27" t="s">
        <v>3225</v>
      </c>
      <c r="B238" s="22" t="s">
        <v>214</v>
      </c>
      <c r="C238" s="22" t="s">
        <v>59</v>
      </c>
      <c r="D238" s="22" t="s">
        <v>798</v>
      </c>
      <c r="E238" s="22" t="s">
        <v>100</v>
      </c>
      <c r="F238" s="22">
        <v>4</v>
      </c>
      <c r="G238" s="51" t="s">
        <v>211</v>
      </c>
      <c r="H238" s="5">
        <v>71428.570000000007</v>
      </c>
      <c r="I238" s="22" t="s">
        <v>680</v>
      </c>
      <c r="J238" s="5" t="s">
        <v>102</v>
      </c>
    </row>
    <row r="239" spans="1:10" ht="30">
      <c r="A239" s="27" t="s">
        <v>3226</v>
      </c>
      <c r="B239" s="22" t="s">
        <v>214</v>
      </c>
      <c r="C239" s="22" t="s">
        <v>59</v>
      </c>
      <c r="D239" s="22" t="s">
        <v>798</v>
      </c>
      <c r="E239" s="22" t="s">
        <v>100</v>
      </c>
      <c r="F239" s="22">
        <v>4</v>
      </c>
      <c r="G239" s="51" t="s">
        <v>226</v>
      </c>
      <c r="H239" s="5">
        <v>71428.570000000007</v>
      </c>
      <c r="I239" s="22" t="s">
        <v>680</v>
      </c>
      <c r="J239" s="5" t="s">
        <v>102</v>
      </c>
    </row>
    <row r="240" spans="1:10" ht="30">
      <c r="A240" s="19" t="s">
        <v>801</v>
      </c>
      <c r="B240" s="22" t="s">
        <v>214</v>
      </c>
      <c r="C240" s="22" t="s">
        <v>59</v>
      </c>
      <c r="D240" s="22" t="s">
        <v>788</v>
      </c>
      <c r="E240" s="22" t="s">
        <v>100</v>
      </c>
      <c r="F240" s="22">
        <v>4</v>
      </c>
      <c r="G240" s="22" t="s">
        <v>216</v>
      </c>
      <c r="H240" s="5">
        <v>250000</v>
      </c>
      <c r="I240" s="22" t="s">
        <v>681</v>
      </c>
      <c r="J240" s="5" t="s">
        <v>102</v>
      </c>
    </row>
    <row r="241" spans="1:10" ht="30">
      <c r="A241" s="19" t="s">
        <v>802</v>
      </c>
      <c r="B241" s="22" t="s">
        <v>214</v>
      </c>
      <c r="C241" s="22" t="s">
        <v>59</v>
      </c>
      <c r="D241" s="22" t="s">
        <v>788</v>
      </c>
      <c r="E241" s="22" t="s">
        <v>100</v>
      </c>
      <c r="F241" s="22">
        <v>4</v>
      </c>
      <c r="G241" s="22" t="s">
        <v>217</v>
      </c>
      <c r="H241" s="5">
        <v>250000</v>
      </c>
      <c r="I241" s="22" t="s">
        <v>681</v>
      </c>
      <c r="J241" s="5" t="s">
        <v>102</v>
      </c>
    </row>
    <row r="242" spans="1:10" ht="30">
      <c r="A242" s="19" t="s">
        <v>803</v>
      </c>
      <c r="B242" s="22" t="s">
        <v>214</v>
      </c>
      <c r="C242" s="22" t="s">
        <v>59</v>
      </c>
      <c r="D242" s="22" t="s">
        <v>788</v>
      </c>
      <c r="E242" s="22" t="s">
        <v>100</v>
      </c>
      <c r="F242" s="22">
        <v>4</v>
      </c>
      <c r="G242" s="22" t="s">
        <v>218</v>
      </c>
      <c r="H242" s="5">
        <v>250000</v>
      </c>
      <c r="I242" s="22" t="s">
        <v>681</v>
      </c>
      <c r="J242" s="5" t="s">
        <v>102</v>
      </c>
    </row>
    <row r="243" spans="1:10" ht="30">
      <c r="A243" s="19" t="s">
        <v>804</v>
      </c>
      <c r="B243" s="22" t="s">
        <v>214</v>
      </c>
      <c r="C243" s="22" t="s">
        <v>59</v>
      </c>
      <c r="D243" s="22" t="s">
        <v>788</v>
      </c>
      <c r="E243" s="22" t="s">
        <v>100</v>
      </c>
      <c r="F243" s="22">
        <v>4</v>
      </c>
      <c r="G243" s="22" t="s">
        <v>219</v>
      </c>
      <c r="H243" s="5">
        <v>250000</v>
      </c>
      <c r="I243" s="22" t="s">
        <v>681</v>
      </c>
      <c r="J243" s="5" t="s">
        <v>102</v>
      </c>
    </row>
    <row r="244" spans="1:10" ht="30">
      <c r="A244" s="19" t="s">
        <v>805</v>
      </c>
      <c r="B244" s="22" t="s">
        <v>214</v>
      </c>
      <c r="C244" s="22" t="s">
        <v>59</v>
      </c>
      <c r="D244" s="22" t="s">
        <v>788</v>
      </c>
      <c r="E244" s="22" t="s">
        <v>100</v>
      </c>
      <c r="F244" s="22">
        <v>4</v>
      </c>
      <c r="G244" s="22" t="s">
        <v>292</v>
      </c>
      <c r="H244" s="5">
        <v>250000</v>
      </c>
      <c r="I244" s="22" t="s">
        <v>681</v>
      </c>
      <c r="J244" s="5" t="s">
        <v>102</v>
      </c>
    </row>
    <row r="245" spans="1:10" ht="30">
      <c r="A245" s="19" t="s">
        <v>806</v>
      </c>
      <c r="B245" s="22" t="s">
        <v>214</v>
      </c>
      <c r="C245" s="22" t="s">
        <v>59</v>
      </c>
      <c r="D245" s="22" t="s">
        <v>788</v>
      </c>
      <c r="E245" s="22" t="s">
        <v>100</v>
      </c>
      <c r="F245" s="22">
        <v>4</v>
      </c>
      <c r="G245" s="22" t="s">
        <v>221</v>
      </c>
      <c r="H245" s="5">
        <v>250000</v>
      </c>
      <c r="I245" s="22" t="s">
        <v>681</v>
      </c>
      <c r="J245" s="5" t="s">
        <v>102</v>
      </c>
    </row>
    <row r="246" spans="1:10" ht="30">
      <c r="A246" s="19" t="s">
        <v>807</v>
      </c>
      <c r="B246" s="22" t="s">
        <v>214</v>
      </c>
      <c r="C246" s="22" t="s">
        <v>59</v>
      </c>
      <c r="D246" s="22" t="s">
        <v>788</v>
      </c>
      <c r="E246" s="22" t="s">
        <v>100</v>
      </c>
      <c r="F246" s="22">
        <v>4</v>
      </c>
      <c r="G246" s="22" t="s">
        <v>223</v>
      </c>
      <c r="H246" s="5">
        <v>250000</v>
      </c>
      <c r="I246" s="22" t="s">
        <v>681</v>
      </c>
      <c r="J246" s="5" t="s">
        <v>102</v>
      </c>
    </row>
    <row r="247" spans="1:10" ht="30">
      <c r="A247" s="19" t="s">
        <v>808</v>
      </c>
      <c r="B247" s="22" t="s">
        <v>214</v>
      </c>
      <c r="C247" s="22" t="s">
        <v>59</v>
      </c>
      <c r="D247" s="22" t="s">
        <v>788</v>
      </c>
      <c r="E247" s="22" t="s">
        <v>100</v>
      </c>
      <c r="F247" s="22">
        <v>4</v>
      </c>
      <c r="G247" s="22" t="s">
        <v>225</v>
      </c>
      <c r="H247" s="5">
        <v>250000</v>
      </c>
      <c r="I247" s="22" t="s">
        <v>681</v>
      </c>
      <c r="J247" s="5" t="s">
        <v>102</v>
      </c>
    </row>
    <row r="248" spans="1:10" ht="30">
      <c r="A248" s="19" t="s">
        <v>809</v>
      </c>
      <c r="B248" s="22" t="s">
        <v>214</v>
      </c>
      <c r="C248" s="22" t="s">
        <v>59</v>
      </c>
      <c r="D248" s="22" t="s">
        <v>788</v>
      </c>
      <c r="E248" s="22" t="s">
        <v>100</v>
      </c>
      <c r="F248" s="22">
        <v>4</v>
      </c>
      <c r="G248" s="51" t="s">
        <v>229</v>
      </c>
      <c r="H248" s="5">
        <v>250000</v>
      </c>
      <c r="I248" s="22" t="s">
        <v>681</v>
      </c>
      <c r="J248" s="5" t="s">
        <v>102</v>
      </c>
    </row>
    <row r="249" spans="1:10" ht="30">
      <c r="A249" s="19" t="s">
        <v>810</v>
      </c>
      <c r="B249" s="22" t="s">
        <v>214</v>
      </c>
      <c r="C249" s="22" t="s">
        <v>59</v>
      </c>
      <c r="D249" s="22" t="s">
        <v>788</v>
      </c>
      <c r="E249" s="22" t="s">
        <v>100</v>
      </c>
      <c r="F249" s="22">
        <v>4</v>
      </c>
      <c r="G249" s="22" t="s">
        <v>232</v>
      </c>
      <c r="H249" s="5">
        <v>250000</v>
      </c>
      <c r="I249" s="22" t="s">
        <v>681</v>
      </c>
      <c r="J249" s="5" t="s">
        <v>102</v>
      </c>
    </row>
    <row r="250" spans="1:10" ht="45">
      <c r="A250" s="19" t="s">
        <v>811</v>
      </c>
      <c r="B250" s="22" t="s">
        <v>214</v>
      </c>
      <c r="C250" s="22" t="s">
        <v>59</v>
      </c>
      <c r="D250" s="22" t="s">
        <v>800</v>
      </c>
      <c r="E250" s="22" t="s">
        <v>100</v>
      </c>
      <c r="F250" s="22">
        <v>4</v>
      </c>
      <c r="G250" s="51" t="s">
        <v>226</v>
      </c>
      <c r="H250" s="5">
        <f>250000-71428.57</f>
        <v>178571.43</v>
      </c>
      <c r="I250" s="22" t="s">
        <v>681</v>
      </c>
      <c r="J250" s="5" t="s">
        <v>102</v>
      </c>
    </row>
    <row r="251" spans="1:10" ht="45">
      <c r="A251" s="19" t="s">
        <v>812</v>
      </c>
      <c r="B251" s="22" t="s">
        <v>214</v>
      </c>
      <c r="C251" s="22" t="s">
        <v>59</v>
      </c>
      <c r="D251" s="22" t="s">
        <v>800</v>
      </c>
      <c r="E251" s="22" t="s">
        <v>100</v>
      </c>
      <c r="F251" s="22">
        <v>4</v>
      </c>
      <c r="G251" s="51" t="s">
        <v>228</v>
      </c>
      <c r="H251" s="5">
        <v>250000</v>
      </c>
      <c r="I251" s="22" t="s">
        <v>681</v>
      </c>
      <c r="J251" s="5" t="s">
        <v>102</v>
      </c>
    </row>
    <row r="252" spans="1:10" ht="45">
      <c r="A252" s="19" t="s">
        <v>813</v>
      </c>
      <c r="B252" s="22" t="s">
        <v>214</v>
      </c>
      <c r="C252" s="22" t="s">
        <v>59</v>
      </c>
      <c r="D252" s="22" t="s">
        <v>800</v>
      </c>
      <c r="E252" s="22" t="s">
        <v>100</v>
      </c>
      <c r="F252" s="22">
        <v>4</v>
      </c>
      <c r="G252" s="51" t="s">
        <v>233</v>
      </c>
      <c r="H252" s="5">
        <f>250000-178571.43</f>
        <v>71428.570000000007</v>
      </c>
      <c r="I252" s="22" t="s">
        <v>681</v>
      </c>
      <c r="J252" s="5" t="s">
        <v>102</v>
      </c>
    </row>
    <row r="253" spans="1:10">
      <c r="A253" s="27" t="s">
        <v>470</v>
      </c>
      <c r="B253" s="12" t="s">
        <v>354</v>
      </c>
      <c r="C253" s="4" t="s">
        <v>578</v>
      </c>
      <c r="D253" s="3" t="s">
        <v>354</v>
      </c>
      <c r="E253" s="4" t="s">
        <v>578</v>
      </c>
      <c r="F253" s="4" t="s">
        <v>578</v>
      </c>
      <c r="G253" s="4" t="s">
        <v>578</v>
      </c>
      <c r="H253" s="13">
        <f>SUM(H254:H260)</f>
        <v>11951807.717142858</v>
      </c>
      <c r="I253" s="3" t="s">
        <v>578</v>
      </c>
      <c r="J253" s="5" t="s">
        <v>102</v>
      </c>
    </row>
    <row r="254" spans="1:10" ht="30">
      <c r="A254" s="27" t="s">
        <v>471</v>
      </c>
      <c r="B254" s="3" t="s">
        <v>354</v>
      </c>
      <c r="C254" s="3" t="s">
        <v>58</v>
      </c>
      <c r="D254" s="3" t="s">
        <v>354</v>
      </c>
      <c r="E254" s="3" t="s">
        <v>100</v>
      </c>
      <c r="F254" s="3">
        <v>67</v>
      </c>
      <c r="G254" s="4" t="s">
        <v>101</v>
      </c>
      <c r="H254" s="5">
        <f>5142863+241071.43</f>
        <v>5383934.4299999997</v>
      </c>
      <c r="I254" s="22" t="s">
        <v>681</v>
      </c>
      <c r="J254" s="5" t="s">
        <v>102</v>
      </c>
    </row>
    <row r="255" spans="1:10" ht="30">
      <c r="A255" s="27" t="s">
        <v>472</v>
      </c>
      <c r="B255" s="3" t="s">
        <v>354</v>
      </c>
      <c r="C255" s="22" t="s">
        <v>60</v>
      </c>
      <c r="D255" s="3" t="s">
        <v>354</v>
      </c>
      <c r="E255" s="3" t="s">
        <v>100</v>
      </c>
      <c r="F255" s="3">
        <v>6</v>
      </c>
      <c r="G255" s="3" t="s">
        <v>216</v>
      </c>
      <c r="H255" s="5">
        <v>263999.86</v>
      </c>
      <c r="I255" s="22" t="s">
        <v>681</v>
      </c>
      <c r="J255" s="5" t="s">
        <v>102</v>
      </c>
    </row>
    <row r="256" spans="1:10" ht="30">
      <c r="A256" s="27" t="s">
        <v>473</v>
      </c>
      <c r="B256" s="3" t="s">
        <v>354</v>
      </c>
      <c r="C256" s="3" t="s">
        <v>60</v>
      </c>
      <c r="D256" s="3" t="s">
        <v>354</v>
      </c>
      <c r="E256" s="3" t="s">
        <v>100</v>
      </c>
      <c r="F256" s="3">
        <v>5</v>
      </c>
      <c r="G256" s="3" t="s">
        <v>219</v>
      </c>
      <c r="H256" s="5">
        <v>314571.57</v>
      </c>
      <c r="I256" s="22" t="s">
        <v>681</v>
      </c>
      <c r="J256" s="5" t="s">
        <v>102</v>
      </c>
    </row>
    <row r="257" spans="1:10" ht="30">
      <c r="A257" s="27" t="s">
        <v>474</v>
      </c>
      <c r="B257" s="3" t="s">
        <v>354</v>
      </c>
      <c r="C257" s="3" t="s">
        <v>60</v>
      </c>
      <c r="D257" s="3" t="s">
        <v>354</v>
      </c>
      <c r="E257" s="3" t="s">
        <v>100</v>
      </c>
      <c r="F257" s="3">
        <v>5</v>
      </c>
      <c r="G257" s="3" t="s">
        <v>220</v>
      </c>
      <c r="H257" s="5">
        <v>428571.42857142852</v>
      </c>
      <c r="I257" s="22" t="s">
        <v>681</v>
      </c>
      <c r="J257" s="5" t="s">
        <v>102</v>
      </c>
    </row>
    <row r="258" spans="1:10" ht="30">
      <c r="A258" s="27" t="s">
        <v>475</v>
      </c>
      <c r="B258" s="3" t="s">
        <v>354</v>
      </c>
      <c r="C258" s="3" t="s">
        <v>60</v>
      </c>
      <c r="D258" s="3" t="s">
        <v>354</v>
      </c>
      <c r="E258" s="3" t="s">
        <v>100</v>
      </c>
      <c r="F258" s="3">
        <v>3</v>
      </c>
      <c r="G258" s="3" t="s">
        <v>221</v>
      </c>
      <c r="H258" s="5">
        <v>321428.57142857142</v>
      </c>
      <c r="I258" s="22" t="s">
        <v>681</v>
      </c>
      <c r="J258" s="5" t="s">
        <v>102</v>
      </c>
    </row>
    <row r="259" spans="1:10" ht="30">
      <c r="A259" s="27" t="s">
        <v>476</v>
      </c>
      <c r="B259" s="3" t="s">
        <v>354</v>
      </c>
      <c r="C259" s="3" t="s">
        <v>60</v>
      </c>
      <c r="D259" s="3" t="s">
        <v>354</v>
      </c>
      <c r="E259" s="3" t="s">
        <v>100</v>
      </c>
      <c r="F259" s="3">
        <v>4</v>
      </c>
      <c r="G259" s="3" t="s">
        <v>227</v>
      </c>
      <c r="H259" s="5">
        <v>257142.85714285713</v>
      </c>
      <c r="I259" s="22" t="s">
        <v>681</v>
      </c>
      <c r="J259" s="5" t="s">
        <v>102</v>
      </c>
    </row>
    <row r="260" spans="1:10" ht="30">
      <c r="A260" s="27" t="s">
        <v>477</v>
      </c>
      <c r="B260" s="3" t="s">
        <v>354</v>
      </c>
      <c r="C260" s="3" t="s">
        <v>60</v>
      </c>
      <c r="D260" s="3" t="s">
        <v>830</v>
      </c>
      <c r="E260" s="3" t="s">
        <v>100</v>
      </c>
      <c r="F260" s="3">
        <v>60</v>
      </c>
      <c r="G260" s="4" t="s">
        <v>101</v>
      </c>
      <c r="H260" s="5">
        <v>4982159</v>
      </c>
      <c r="I260" s="22" t="s">
        <v>681</v>
      </c>
      <c r="J260" s="5" t="s">
        <v>102</v>
      </c>
    </row>
    <row r="261" spans="1:10">
      <c r="A261" s="27" t="s">
        <v>1267</v>
      </c>
      <c r="B261" s="12" t="s">
        <v>370</v>
      </c>
      <c r="C261" s="4" t="s">
        <v>578</v>
      </c>
      <c r="D261" s="3" t="s">
        <v>370</v>
      </c>
      <c r="E261" s="4" t="s">
        <v>578</v>
      </c>
      <c r="F261" s="4" t="s">
        <v>578</v>
      </c>
      <c r="G261" s="4" t="s">
        <v>101</v>
      </c>
      <c r="H261" s="13">
        <f>SUM(H262:H271)</f>
        <v>2437857.15</v>
      </c>
      <c r="I261" s="3" t="s">
        <v>578</v>
      </c>
      <c r="J261" s="5" t="s">
        <v>102</v>
      </c>
    </row>
    <row r="262" spans="1:10" ht="30">
      <c r="A262" s="27" t="s">
        <v>478</v>
      </c>
      <c r="B262" s="3" t="s">
        <v>1197</v>
      </c>
      <c r="C262" s="4" t="s">
        <v>59</v>
      </c>
      <c r="D262" s="3" t="s">
        <v>1197</v>
      </c>
      <c r="E262" s="3" t="s">
        <v>100</v>
      </c>
      <c r="F262" s="3">
        <v>300</v>
      </c>
      <c r="G262" s="3" t="s">
        <v>101</v>
      </c>
      <c r="H262" s="5">
        <v>17857.150000000001</v>
      </c>
      <c r="I262" s="22" t="s">
        <v>681</v>
      </c>
      <c r="J262" s="5" t="s">
        <v>102</v>
      </c>
    </row>
    <row r="263" spans="1:10" ht="45">
      <c r="A263" s="27" t="s">
        <v>479</v>
      </c>
      <c r="B263" s="3" t="s">
        <v>1206</v>
      </c>
      <c r="C263" s="4" t="s">
        <v>59</v>
      </c>
      <c r="D263" s="3" t="s">
        <v>1198</v>
      </c>
      <c r="E263" s="22" t="s">
        <v>100</v>
      </c>
      <c r="F263" s="3">
        <v>100</v>
      </c>
      <c r="G263" s="3" t="s">
        <v>101</v>
      </c>
      <c r="H263" s="35">
        <v>500000</v>
      </c>
      <c r="I263" s="22" t="s">
        <v>681</v>
      </c>
      <c r="J263" s="5" t="s">
        <v>102</v>
      </c>
    </row>
    <row r="264" spans="1:10" ht="45">
      <c r="A264" s="27" t="s">
        <v>480</v>
      </c>
      <c r="B264" s="3" t="s">
        <v>1207</v>
      </c>
      <c r="C264" s="4" t="s">
        <v>59</v>
      </c>
      <c r="D264" s="3" t="s">
        <v>1199</v>
      </c>
      <c r="E264" s="22" t="s">
        <v>100</v>
      </c>
      <c r="F264" s="3">
        <v>300</v>
      </c>
      <c r="G264" s="3" t="s">
        <v>101</v>
      </c>
      <c r="H264" s="35">
        <v>210000</v>
      </c>
      <c r="I264" s="22" t="s">
        <v>681</v>
      </c>
      <c r="J264" s="5" t="s">
        <v>102</v>
      </c>
    </row>
    <row r="265" spans="1:10" ht="45">
      <c r="A265" s="27" t="s">
        <v>1268</v>
      </c>
      <c r="B265" s="3" t="s">
        <v>1207</v>
      </c>
      <c r="C265" s="4" t="s">
        <v>59</v>
      </c>
      <c r="D265" s="3" t="s">
        <v>1200</v>
      </c>
      <c r="E265" s="22" t="s">
        <v>100</v>
      </c>
      <c r="F265" s="3">
        <v>300</v>
      </c>
      <c r="G265" s="3" t="s">
        <v>101</v>
      </c>
      <c r="H265" s="5">
        <v>210000</v>
      </c>
      <c r="I265" s="22" t="s">
        <v>681</v>
      </c>
      <c r="J265" s="5" t="s">
        <v>102</v>
      </c>
    </row>
    <row r="266" spans="1:10" ht="30">
      <c r="A266" s="27" t="s">
        <v>1269</v>
      </c>
      <c r="B266" s="3" t="s">
        <v>1945</v>
      </c>
      <c r="C266" s="4" t="s">
        <v>59</v>
      </c>
      <c r="D266" s="3" t="s">
        <v>1201</v>
      </c>
      <c r="E266" s="22" t="s">
        <v>100</v>
      </c>
      <c r="F266" s="3">
        <v>2000</v>
      </c>
      <c r="G266" s="3" t="s">
        <v>101</v>
      </c>
      <c r="H266" s="5">
        <v>260000</v>
      </c>
      <c r="I266" s="22" t="s">
        <v>681</v>
      </c>
      <c r="J266" s="5" t="s">
        <v>102</v>
      </c>
    </row>
    <row r="267" spans="1:10" ht="30">
      <c r="A267" s="27" t="s">
        <v>1270</v>
      </c>
      <c r="B267" s="3" t="s">
        <v>1946</v>
      </c>
      <c r="C267" s="4" t="s">
        <v>59</v>
      </c>
      <c r="D267" s="3" t="s">
        <v>1202</v>
      </c>
      <c r="E267" s="22" t="s">
        <v>100</v>
      </c>
      <c r="F267" s="3">
        <v>12000</v>
      </c>
      <c r="G267" s="3" t="s">
        <v>101</v>
      </c>
      <c r="H267" s="5">
        <v>480000</v>
      </c>
      <c r="I267" s="22" t="s">
        <v>681</v>
      </c>
      <c r="J267" s="5" t="s">
        <v>102</v>
      </c>
    </row>
    <row r="268" spans="1:10" ht="30">
      <c r="A268" s="27" t="s">
        <v>1271</v>
      </c>
      <c r="B268" s="3" t="s">
        <v>1208</v>
      </c>
      <c r="C268" s="4" t="s">
        <v>59</v>
      </c>
      <c r="D268" s="3" t="s">
        <v>1203</v>
      </c>
      <c r="E268" s="22" t="s">
        <v>100</v>
      </c>
      <c r="F268" s="3">
        <v>1000</v>
      </c>
      <c r="G268" s="3" t="s">
        <v>101</v>
      </c>
      <c r="H268" s="35">
        <v>500000</v>
      </c>
      <c r="I268" s="22" t="s">
        <v>681</v>
      </c>
      <c r="J268" s="5" t="s">
        <v>102</v>
      </c>
    </row>
    <row r="269" spans="1:10" ht="30">
      <c r="A269" s="27" t="s">
        <v>1272</v>
      </c>
      <c r="B269" s="3" t="s">
        <v>1204</v>
      </c>
      <c r="C269" s="4" t="s">
        <v>59</v>
      </c>
      <c r="D269" s="3" t="s">
        <v>1204</v>
      </c>
      <c r="E269" s="22" t="s">
        <v>100</v>
      </c>
      <c r="F269" s="3">
        <v>100</v>
      </c>
      <c r="G269" s="3" t="s">
        <v>101</v>
      </c>
      <c r="H269" s="35">
        <v>35000</v>
      </c>
      <c r="I269" s="22" t="s">
        <v>681</v>
      </c>
      <c r="J269" s="5" t="s">
        <v>102</v>
      </c>
    </row>
    <row r="270" spans="1:10" ht="45">
      <c r="A270" s="27" t="s">
        <v>1273</v>
      </c>
      <c r="B270" s="3" t="s">
        <v>1209</v>
      </c>
      <c r="C270" s="4" t="s">
        <v>59</v>
      </c>
      <c r="D270" s="3" t="s">
        <v>1210</v>
      </c>
      <c r="E270" s="22" t="s">
        <v>100</v>
      </c>
      <c r="F270" s="3">
        <v>300</v>
      </c>
      <c r="G270" s="3" t="s">
        <v>101</v>
      </c>
      <c r="H270" s="5">
        <v>135000</v>
      </c>
      <c r="I270" s="22" t="s">
        <v>681</v>
      </c>
      <c r="J270" s="5" t="s">
        <v>102</v>
      </c>
    </row>
    <row r="271" spans="1:10" ht="30">
      <c r="A271" s="27" t="s">
        <v>1274</v>
      </c>
      <c r="B271" s="3" t="s">
        <v>1205</v>
      </c>
      <c r="C271" s="4" t="s">
        <v>59</v>
      </c>
      <c r="D271" s="3" t="s">
        <v>1205</v>
      </c>
      <c r="E271" s="22" t="s">
        <v>100</v>
      </c>
      <c r="F271" s="3">
        <v>300</v>
      </c>
      <c r="G271" s="3" t="s">
        <v>101</v>
      </c>
      <c r="H271" s="35">
        <v>90000</v>
      </c>
      <c r="I271" s="22" t="s">
        <v>681</v>
      </c>
      <c r="J271" s="5" t="s">
        <v>102</v>
      </c>
    </row>
    <row r="272" spans="1:10">
      <c r="A272" s="27" t="s">
        <v>1275</v>
      </c>
      <c r="B272" s="12" t="s">
        <v>371</v>
      </c>
      <c r="C272" s="4" t="s">
        <v>578</v>
      </c>
      <c r="D272" s="3" t="s">
        <v>371</v>
      </c>
      <c r="E272" s="4" t="s">
        <v>578</v>
      </c>
      <c r="F272" s="4" t="s">
        <v>578</v>
      </c>
      <c r="G272" s="4" t="s">
        <v>101</v>
      </c>
      <c r="H272" s="13">
        <f>SUM(H273:H303)</f>
        <v>9430392.8499999996</v>
      </c>
      <c r="I272" s="3" t="s">
        <v>578</v>
      </c>
      <c r="J272" s="5" t="s">
        <v>102</v>
      </c>
    </row>
    <row r="273" spans="1:10" ht="30">
      <c r="A273" s="27" t="s">
        <v>1276</v>
      </c>
      <c r="B273" s="3" t="s">
        <v>1211</v>
      </c>
      <c r="C273" s="4" t="s">
        <v>59</v>
      </c>
      <c r="D273" s="22" t="s">
        <v>1211</v>
      </c>
      <c r="E273" s="3" t="s">
        <v>185</v>
      </c>
      <c r="F273" s="3">
        <v>1</v>
      </c>
      <c r="G273" s="3" t="s">
        <v>101</v>
      </c>
      <c r="H273" s="5">
        <v>1700000</v>
      </c>
      <c r="I273" s="22" t="s">
        <v>681</v>
      </c>
      <c r="J273" s="5" t="s">
        <v>102</v>
      </c>
    </row>
    <row r="274" spans="1:10" ht="30">
      <c r="A274" s="27" t="s">
        <v>1277</v>
      </c>
      <c r="B274" s="22" t="s">
        <v>1237</v>
      </c>
      <c r="C274" s="4" t="s">
        <v>59</v>
      </c>
      <c r="D274" s="22" t="s">
        <v>1212</v>
      </c>
      <c r="E274" s="22" t="s">
        <v>100</v>
      </c>
      <c r="F274" s="22">
        <v>20</v>
      </c>
      <c r="G274" s="22" t="s">
        <v>101</v>
      </c>
      <c r="H274" s="5">
        <v>500000</v>
      </c>
      <c r="I274" s="22" t="s">
        <v>678</v>
      </c>
      <c r="J274" s="5" t="s">
        <v>102</v>
      </c>
    </row>
    <row r="275" spans="1:10" ht="45">
      <c r="A275" s="27" t="s">
        <v>1278</v>
      </c>
      <c r="B275" s="22" t="s">
        <v>1236</v>
      </c>
      <c r="C275" s="4" t="s">
        <v>59</v>
      </c>
      <c r="D275" s="22" t="s">
        <v>1213</v>
      </c>
      <c r="E275" s="22" t="s">
        <v>100</v>
      </c>
      <c r="F275" s="22">
        <v>100</v>
      </c>
      <c r="G275" s="22" t="s">
        <v>101</v>
      </c>
      <c r="H275" s="5">
        <v>0</v>
      </c>
      <c r="I275" s="22" t="s">
        <v>678</v>
      </c>
      <c r="J275" s="5" t="s">
        <v>102</v>
      </c>
    </row>
    <row r="276" spans="1:10" ht="45">
      <c r="A276" s="27" t="s">
        <v>1279</v>
      </c>
      <c r="B276" s="22" t="s">
        <v>1236</v>
      </c>
      <c r="C276" s="4" t="s">
        <v>59</v>
      </c>
      <c r="D276" s="22" t="s">
        <v>1214</v>
      </c>
      <c r="E276" s="22" t="s">
        <v>100</v>
      </c>
      <c r="F276" s="22">
        <v>80</v>
      </c>
      <c r="G276" s="22" t="s">
        <v>101</v>
      </c>
      <c r="H276" s="5">
        <v>0</v>
      </c>
      <c r="I276" s="22" t="s">
        <v>678</v>
      </c>
      <c r="J276" s="5" t="s">
        <v>102</v>
      </c>
    </row>
    <row r="277" spans="1:10" ht="30">
      <c r="A277" s="27" t="s">
        <v>1280</v>
      </c>
      <c r="B277" s="22" t="s">
        <v>1238</v>
      </c>
      <c r="C277" s="4" t="s">
        <v>59</v>
      </c>
      <c r="D277" s="22" t="s">
        <v>1215</v>
      </c>
      <c r="E277" s="22" t="s">
        <v>100</v>
      </c>
      <c r="F277" s="22">
        <v>200</v>
      </c>
      <c r="G277" s="22" t="s">
        <v>101</v>
      </c>
      <c r="H277" s="5">
        <v>600000</v>
      </c>
      <c r="I277" s="22" t="s">
        <v>679</v>
      </c>
      <c r="J277" s="5" t="s">
        <v>102</v>
      </c>
    </row>
    <row r="278" spans="1:10" ht="30">
      <c r="A278" s="27" t="s">
        <v>1281</v>
      </c>
      <c r="B278" s="22" t="s">
        <v>1239</v>
      </c>
      <c r="C278" s="4" t="s">
        <v>59</v>
      </c>
      <c r="D278" s="22" t="s">
        <v>1216</v>
      </c>
      <c r="E278" s="22" t="s">
        <v>100</v>
      </c>
      <c r="F278" s="22">
        <v>100</v>
      </c>
      <c r="G278" s="22" t="s">
        <v>101</v>
      </c>
      <c r="H278" s="5">
        <v>600000</v>
      </c>
      <c r="I278" s="22" t="s">
        <v>679</v>
      </c>
      <c r="J278" s="5" t="s">
        <v>102</v>
      </c>
    </row>
    <row r="279" spans="1:10" ht="30">
      <c r="A279" s="27" t="s">
        <v>1282</v>
      </c>
      <c r="B279" s="22" t="s">
        <v>1240</v>
      </c>
      <c r="C279" s="4" t="s">
        <v>59</v>
      </c>
      <c r="D279" s="22" t="s">
        <v>1217</v>
      </c>
      <c r="E279" s="22" t="s">
        <v>100</v>
      </c>
      <c r="F279" s="22">
        <v>100</v>
      </c>
      <c r="G279" s="22" t="s">
        <v>101</v>
      </c>
      <c r="H279" s="5">
        <v>0</v>
      </c>
      <c r="I279" s="22" t="s">
        <v>681</v>
      </c>
      <c r="J279" s="5" t="s">
        <v>102</v>
      </c>
    </row>
    <row r="280" spans="1:10" ht="45">
      <c r="A280" s="27" t="s">
        <v>1283</v>
      </c>
      <c r="B280" s="22" t="s">
        <v>1241</v>
      </c>
      <c r="C280" s="4" t="s">
        <v>59</v>
      </c>
      <c r="D280" s="22" t="s">
        <v>1218</v>
      </c>
      <c r="E280" s="22" t="s">
        <v>100</v>
      </c>
      <c r="F280" s="22">
        <v>75</v>
      </c>
      <c r="G280" s="22" t="s">
        <v>101</v>
      </c>
      <c r="H280" s="5">
        <v>0</v>
      </c>
      <c r="I280" s="22" t="s">
        <v>681</v>
      </c>
      <c r="J280" s="5" t="s">
        <v>102</v>
      </c>
    </row>
    <row r="281" spans="1:10" ht="30">
      <c r="A281" s="27" t="s">
        <v>1284</v>
      </c>
      <c r="B281" s="22" t="s">
        <v>1242</v>
      </c>
      <c r="C281" s="4" t="s">
        <v>59</v>
      </c>
      <c r="D281" s="22" t="s">
        <v>1219</v>
      </c>
      <c r="E281" s="22" t="s">
        <v>100</v>
      </c>
      <c r="F281" s="22">
        <v>50</v>
      </c>
      <c r="G281" s="22" t="s">
        <v>101</v>
      </c>
      <c r="H281" s="5">
        <v>250000</v>
      </c>
      <c r="I281" s="22" t="s">
        <v>681</v>
      </c>
      <c r="J281" s="5" t="s">
        <v>102</v>
      </c>
    </row>
    <row r="282" spans="1:10" ht="30">
      <c r="A282" s="27" t="s">
        <v>1285</v>
      </c>
      <c r="B282" s="22" t="s">
        <v>1243</v>
      </c>
      <c r="C282" s="4" t="s">
        <v>59</v>
      </c>
      <c r="D282" s="22" t="s">
        <v>1220</v>
      </c>
      <c r="E282" s="22" t="s">
        <v>100</v>
      </c>
      <c r="F282" s="22">
        <v>25</v>
      </c>
      <c r="G282" s="22" t="s">
        <v>101</v>
      </c>
      <c r="H282" s="5">
        <v>150000</v>
      </c>
      <c r="I282" s="22" t="s">
        <v>681</v>
      </c>
      <c r="J282" s="5" t="s">
        <v>102</v>
      </c>
    </row>
    <row r="283" spans="1:10" ht="30">
      <c r="A283" s="27" t="s">
        <v>1286</v>
      </c>
      <c r="B283" s="22" t="s">
        <v>1244</v>
      </c>
      <c r="C283" s="4" t="s">
        <v>59</v>
      </c>
      <c r="D283" s="22" t="s">
        <v>1221</v>
      </c>
      <c r="E283" s="22" t="s">
        <v>100</v>
      </c>
      <c r="F283" s="22">
        <v>65</v>
      </c>
      <c r="G283" s="22" t="s">
        <v>101</v>
      </c>
      <c r="H283" s="5">
        <v>780000</v>
      </c>
      <c r="I283" s="22" t="s">
        <v>681</v>
      </c>
      <c r="J283" s="5" t="s">
        <v>102</v>
      </c>
    </row>
    <row r="284" spans="1:10" ht="30">
      <c r="A284" s="27" t="s">
        <v>1287</v>
      </c>
      <c r="B284" s="22" t="s">
        <v>1245</v>
      </c>
      <c r="C284" s="4" t="s">
        <v>59</v>
      </c>
      <c r="D284" s="22" t="s">
        <v>1246</v>
      </c>
      <c r="E284" s="22" t="s">
        <v>100</v>
      </c>
      <c r="F284" s="22">
        <v>50</v>
      </c>
      <c r="G284" s="22" t="s">
        <v>101</v>
      </c>
      <c r="H284" s="5">
        <v>350000</v>
      </c>
      <c r="I284" s="22" t="s">
        <v>681</v>
      </c>
      <c r="J284" s="5" t="s">
        <v>102</v>
      </c>
    </row>
    <row r="285" spans="1:10" ht="30">
      <c r="A285" s="27" t="s">
        <v>1288</v>
      </c>
      <c r="B285" s="22" t="s">
        <v>1247</v>
      </c>
      <c r="C285" s="4" t="s">
        <v>59</v>
      </c>
      <c r="D285" s="22" t="s">
        <v>1222</v>
      </c>
      <c r="E285" s="22" t="s">
        <v>100</v>
      </c>
      <c r="F285" s="22">
        <v>50</v>
      </c>
      <c r="G285" s="22" t="s">
        <v>101</v>
      </c>
      <c r="H285" s="5">
        <v>200000</v>
      </c>
      <c r="I285" s="22" t="s">
        <v>681</v>
      </c>
      <c r="J285" s="5" t="s">
        <v>102</v>
      </c>
    </row>
    <row r="286" spans="1:10" ht="30">
      <c r="A286" s="27" t="s">
        <v>1289</v>
      </c>
      <c r="B286" s="22" t="s">
        <v>1248</v>
      </c>
      <c r="C286" s="4" t="s">
        <v>59</v>
      </c>
      <c r="D286" s="22" t="s">
        <v>1223</v>
      </c>
      <c r="E286" s="22" t="s">
        <v>100</v>
      </c>
      <c r="F286" s="22">
        <v>30</v>
      </c>
      <c r="G286" s="22" t="s">
        <v>101</v>
      </c>
      <c r="H286" s="5">
        <v>450000</v>
      </c>
      <c r="I286" s="22" t="s">
        <v>681</v>
      </c>
      <c r="J286" s="5" t="s">
        <v>102</v>
      </c>
    </row>
    <row r="287" spans="1:10" ht="30">
      <c r="A287" s="27" t="s">
        <v>1290</v>
      </c>
      <c r="B287" s="22" t="s">
        <v>1224</v>
      </c>
      <c r="C287" s="4" t="s">
        <v>59</v>
      </c>
      <c r="D287" s="22" t="s">
        <v>1224</v>
      </c>
      <c r="E287" s="22" t="s">
        <v>100</v>
      </c>
      <c r="F287" s="22">
        <v>30</v>
      </c>
      <c r="G287" s="22" t="s">
        <v>101</v>
      </c>
      <c r="H287" s="5">
        <v>390000</v>
      </c>
      <c r="I287" s="22" t="s">
        <v>681</v>
      </c>
      <c r="J287" s="5" t="s">
        <v>102</v>
      </c>
    </row>
    <row r="288" spans="1:10" ht="30">
      <c r="A288" s="27" t="s">
        <v>1291</v>
      </c>
      <c r="B288" s="22" t="s">
        <v>400</v>
      </c>
      <c r="C288" s="4" t="s">
        <v>59</v>
      </c>
      <c r="D288" s="22" t="s">
        <v>1225</v>
      </c>
      <c r="E288" s="22" t="s">
        <v>100</v>
      </c>
      <c r="F288" s="22">
        <v>15</v>
      </c>
      <c r="G288" s="22" t="s">
        <v>101</v>
      </c>
      <c r="H288" s="5">
        <v>270000</v>
      </c>
      <c r="I288" s="22" t="s">
        <v>681</v>
      </c>
      <c r="J288" s="5" t="s">
        <v>102</v>
      </c>
    </row>
    <row r="289" spans="1:10" ht="30">
      <c r="A289" s="27" t="s">
        <v>1292</v>
      </c>
      <c r="B289" s="22" t="s">
        <v>1226</v>
      </c>
      <c r="C289" s="4" t="s">
        <v>59</v>
      </c>
      <c r="D289" s="22" t="s">
        <v>1226</v>
      </c>
      <c r="E289" s="22" t="s">
        <v>100</v>
      </c>
      <c r="F289" s="22">
        <v>205</v>
      </c>
      <c r="G289" s="22" t="s">
        <v>101</v>
      </c>
      <c r="H289" s="5">
        <v>51250</v>
      </c>
      <c r="I289" s="22" t="s">
        <v>681</v>
      </c>
      <c r="J289" s="5" t="s">
        <v>102</v>
      </c>
    </row>
    <row r="290" spans="1:10" ht="30">
      <c r="A290" s="27" t="s">
        <v>1293</v>
      </c>
      <c r="B290" s="22" t="s">
        <v>1249</v>
      </c>
      <c r="C290" s="4" t="s">
        <v>59</v>
      </c>
      <c r="D290" s="22" t="s">
        <v>1227</v>
      </c>
      <c r="E290" s="22" t="s">
        <v>100</v>
      </c>
      <c r="F290" s="22">
        <v>210</v>
      </c>
      <c r="G290" s="22" t="s">
        <v>101</v>
      </c>
      <c r="H290" s="5">
        <v>147000</v>
      </c>
      <c r="I290" s="22" t="s">
        <v>681</v>
      </c>
      <c r="J290" s="5" t="s">
        <v>102</v>
      </c>
    </row>
    <row r="291" spans="1:10" ht="30">
      <c r="A291" s="27" t="s">
        <v>1294</v>
      </c>
      <c r="B291" s="22" t="s">
        <v>1228</v>
      </c>
      <c r="C291" s="4" t="s">
        <v>59</v>
      </c>
      <c r="D291" s="22" t="s">
        <v>1228</v>
      </c>
      <c r="E291" s="22" t="s">
        <v>100</v>
      </c>
      <c r="F291" s="6">
        <v>250</v>
      </c>
      <c r="G291" s="22" t="s">
        <v>101</v>
      </c>
      <c r="H291" s="5">
        <v>75000</v>
      </c>
      <c r="I291" s="22" t="s">
        <v>681</v>
      </c>
      <c r="J291" s="5" t="s">
        <v>102</v>
      </c>
    </row>
    <row r="292" spans="1:10" ht="30">
      <c r="A292" s="27" t="s">
        <v>1295</v>
      </c>
      <c r="B292" s="22" t="s">
        <v>1250</v>
      </c>
      <c r="C292" s="4" t="s">
        <v>59</v>
      </c>
      <c r="D292" s="22" t="s">
        <v>1229</v>
      </c>
      <c r="E292" s="22" t="s">
        <v>100</v>
      </c>
      <c r="F292" s="6">
        <v>250</v>
      </c>
      <c r="G292" s="22" t="s">
        <v>101</v>
      </c>
      <c r="H292" s="5">
        <v>0</v>
      </c>
      <c r="I292" s="22" t="s">
        <v>681</v>
      </c>
      <c r="J292" s="5" t="s">
        <v>102</v>
      </c>
    </row>
    <row r="293" spans="1:10" ht="30">
      <c r="A293" s="27" t="s">
        <v>1296</v>
      </c>
      <c r="B293" s="22" t="s">
        <v>1251</v>
      </c>
      <c r="C293" s="4" t="s">
        <v>59</v>
      </c>
      <c r="D293" s="22" t="s">
        <v>1230</v>
      </c>
      <c r="E293" s="22" t="s">
        <v>100</v>
      </c>
      <c r="F293" s="6">
        <v>250</v>
      </c>
      <c r="G293" s="22" t="s">
        <v>101</v>
      </c>
      <c r="H293" s="5">
        <v>0</v>
      </c>
      <c r="I293" s="22" t="s">
        <v>681</v>
      </c>
      <c r="J293" s="5" t="s">
        <v>102</v>
      </c>
    </row>
    <row r="294" spans="1:10" ht="30">
      <c r="A294" s="27" t="s">
        <v>1297</v>
      </c>
      <c r="B294" s="22" t="s">
        <v>1252</v>
      </c>
      <c r="C294" s="4" t="s">
        <v>59</v>
      </c>
      <c r="D294" s="22" t="s">
        <v>1231</v>
      </c>
      <c r="E294" s="22" t="s">
        <v>100</v>
      </c>
      <c r="F294" s="6">
        <v>60</v>
      </c>
      <c r="G294" s="22" t="s">
        <v>101</v>
      </c>
      <c r="H294" s="5">
        <v>0</v>
      </c>
      <c r="I294" s="22" t="s">
        <v>681</v>
      </c>
      <c r="J294" s="5" t="s">
        <v>102</v>
      </c>
    </row>
    <row r="295" spans="1:10" ht="30">
      <c r="A295" s="27" t="s">
        <v>1298</v>
      </c>
      <c r="B295" s="22" t="s">
        <v>1253</v>
      </c>
      <c r="C295" s="4" t="s">
        <v>59</v>
      </c>
      <c r="D295" s="22" t="s">
        <v>1232</v>
      </c>
      <c r="E295" s="22" t="s">
        <v>100</v>
      </c>
      <c r="F295" s="6">
        <v>500</v>
      </c>
      <c r="G295" s="22" t="s">
        <v>101</v>
      </c>
      <c r="H295" s="5">
        <v>85000</v>
      </c>
      <c r="I295" s="22" t="s">
        <v>681</v>
      </c>
      <c r="J295" s="5" t="s">
        <v>102</v>
      </c>
    </row>
    <row r="296" spans="1:10" ht="30">
      <c r="A296" s="27" t="s">
        <v>1299</v>
      </c>
      <c r="B296" s="3" t="s">
        <v>1233</v>
      </c>
      <c r="C296" s="4" t="s">
        <v>59</v>
      </c>
      <c r="D296" s="22" t="s">
        <v>1233</v>
      </c>
      <c r="E296" s="3" t="s">
        <v>100</v>
      </c>
      <c r="F296" s="3">
        <v>400</v>
      </c>
      <c r="G296" s="3" t="s">
        <v>101</v>
      </c>
      <c r="H296" s="35">
        <v>280000</v>
      </c>
      <c r="I296" s="22" t="s">
        <v>681</v>
      </c>
      <c r="J296" s="5" t="s">
        <v>102</v>
      </c>
    </row>
    <row r="297" spans="1:10" ht="45">
      <c r="A297" s="27" t="s">
        <v>1300</v>
      </c>
      <c r="B297" s="3" t="s">
        <v>1236</v>
      </c>
      <c r="C297" s="4" t="s">
        <v>59</v>
      </c>
      <c r="D297" s="22" t="s">
        <v>1214</v>
      </c>
      <c r="E297" s="3" t="s">
        <v>100</v>
      </c>
      <c r="F297" s="3">
        <v>150</v>
      </c>
      <c r="G297" s="3" t="s">
        <v>101</v>
      </c>
      <c r="H297" s="35">
        <f>450000-235357.14</f>
        <v>214642.86</v>
      </c>
      <c r="I297" s="22" t="s">
        <v>681</v>
      </c>
      <c r="J297" s="5" t="s">
        <v>102</v>
      </c>
    </row>
    <row r="298" spans="1:10" ht="30">
      <c r="A298" s="27" t="s">
        <v>2154</v>
      </c>
      <c r="B298" s="17" t="s">
        <v>2155</v>
      </c>
      <c r="C298" s="4" t="s">
        <v>59</v>
      </c>
      <c r="D298" s="17" t="s">
        <v>2155</v>
      </c>
      <c r="E298" s="22" t="s">
        <v>100</v>
      </c>
      <c r="F298" s="22">
        <v>50</v>
      </c>
      <c r="G298" s="22" t="s">
        <v>101</v>
      </c>
      <c r="H298" s="5">
        <v>267857.14</v>
      </c>
      <c r="I298" s="22" t="s">
        <v>681</v>
      </c>
      <c r="J298" s="5" t="s">
        <v>102</v>
      </c>
    </row>
    <row r="299" spans="1:10" ht="30">
      <c r="A299" s="27" t="s">
        <v>2156</v>
      </c>
      <c r="B299" s="22" t="s">
        <v>1212</v>
      </c>
      <c r="C299" s="4" t="s">
        <v>59</v>
      </c>
      <c r="D299" s="22" t="s">
        <v>1212</v>
      </c>
      <c r="E299" s="22" t="s">
        <v>100</v>
      </c>
      <c r="F299" s="22">
        <v>10</v>
      </c>
      <c r="G299" s="22" t="s">
        <v>101</v>
      </c>
      <c r="H299" s="5">
        <v>401785.71</v>
      </c>
      <c r="I299" s="22" t="s">
        <v>681</v>
      </c>
      <c r="J299" s="5" t="s">
        <v>102</v>
      </c>
    </row>
    <row r="300" spans="1:10" ht="30">
      <c r="A300" s="27" t="s">
        <v>2157</v>
      </c>
      <c r="B300" s="22" t="s">
        <v>383</v>
      </c>
      <c r="C300" s="4" t="s">
        <v>59</v>
      </c>
      <c r="D300" s="22" t="s">
        <v>383</v>
      </c>
      <c r="E300" s="22" t="s">
        <v>100</v>
      </c>
      <c r="F300" s="22">
        <v>10</v>
      </c>
      <c r="G300" s="22" t="s">
        <v>101</v>
      </c>
      <c r="H300" s="5">
        <v>339285.71</v>
      </c>
      <c r="I300" s="22" t="s">
        <v>681</v>
      </c>
      <c r="J300" s="5" t="s">
        <v>102</v>
      </c>
    </row>
    <row r="301" spans="1:10" ht="30">
      <c r="A301" s="27" t="s">
        <v>2158</v>
      </c>
      <c r="B301" s="22" t="s">
        <v>1236</v>
      </c>
      <c r="C301" s="4" t="s">
        <v>59</v>
      </c>
      <c r="D301" s="22" t="s">
        <v>1236</v>
      </c>
      <c r="E301" s="22" t="s">
        <v>100</v>
      </c>
      <c r="F301" s="22">
        <v>50</v>
      </c>
      <c r="G301" s="22" t="s">
        <v>101</v>
      </c>
      <c r="H301" s="5">
        <v>223214.29</v>
      </c>
      <c r="I301" s="22" t="s">
        <v>681</v>
      </c>
      <c r="J301" s="5" t="s">
        <v>102</v>
      </c>
    </row>
    <row r="302" spans="1:10" ht="30">
      <c r="A302" s="27" t="s">
        <v>3179</v>
      </c>
      <c r="B302" s="22" t="s">
        <v>3180</v>
      </c>
      <c r="C302" s="4" t="s">
        <v>59</v>
      </c>
      <c r="D302" s="22" t="s">
        <v>3180</v>
      </c>
      <c r="E302" s="22" t="s">
        <v>100</v>
      </c>
      <c r="F302" s="22">
        <v>2</v>
      </c>
      <c r="G302" s="22" t="s">
        <v>101</v>
      </c>
      <c r="H302" s="35">
        <v>739285.71</v>
      </c>
      <c r="I302" s="22" t="s">
        <v>678</v>
      </c>
      <c r="J302" s="5" t="s">
        <v>102</v>
      </c>
    </row>
    <row r="303" spans="1:10" ht="30">
      <c r="A303" s="27" t="s">
        <v>3181</v>
      </c>
      <c r="B303" s="22" t="s">
        <v>3182</v>
      </c>
      <c r="C303" s="4" t="s">
        <v>59</v>
      </c>
      <c r="D303" s="22" t="s">
        <v>3182</v>
      </c>
      <c r="E303" s="22" t="s">
        <v>100</v>
      </c>
      <c r="F303" s="22">
        <v>1</v>
      </c>
      <c r="G303" s="22" t="s">
        <v>101</v>
      </c>
      <c r="H303" s="35">
        <v>366071.43</v>
      </c>
      <c r="I303" s="22" t="s">
        <v>678</v>
      </c>
      <c r="J303" s="5" t="s">
        <v>102</v>
      </c>
    </row>
    <row r="304" spans="1:10" ht="30">
      <c r="A304" s="27" t="s">
        <v>481</v>
      </c>
      <c r="B304" s="12" t="s">
        <v>374</v>
      </c>
      <c r="C304" s="3" t="s">
        <v>60</v>
      </c>
      <c r="D304" s="3" t="s">
        <v>375</v>
      </c>
      <c r="E304" s="3" t="s">
        <v>100</v>
      </c>
      <c r="F304" s="3">
        <v>397</v>
      </c>
      <c r="G304" s="3" t="s">
        <v>101</v>
      </c>
      <c r="H304" s="13">
        <f>1985000/1.12+62500+13392.86</f>
        <v>1848214.2885714285</v>
      </c>
      <c r="I304" s="22" t="s">
        <v>681</v>
      </c>
      <c r="J304" s="5" t="s">
        <v>102</v>
      </c>
    </row>
    <row r="305" spans="1:10" ht="30">
      <c r="A305" s="27" t="s">
        <v>1301</v>
      </c>
      <c r="B305" s="12" t="s">
        <v>376</v>
      </c>
      <c r="C305" s="3" t="s">
        <v>59</v>
      </c>
      <c r="D305" s="3" t="s">
        <v>376</v>
      </c>
      <c r="E305" s="3" t="s">
        <v>100</v>
      </c>
      <c r="F305" s="3">
        <v>83</v>
      </c>
      <c r="G305" s="3" t="s">
        <v>101</v>
      </c>
      <c r="H305" s="13">
        <f>415000/1.12-13392.86</f>
        <v>357142.85428571427</v>
      </c>
      <c r="I305" s="22" t="s">
        <v>681</v>
      </c>
      <c r="J305" s="5" t="s">
        <v>102</v>
      </c>
    </row>
    <row r="306" spans="1:10" ht="60">
      <c r="A306" s="27" t="s">
        <v>482</v>
      </c>
      <c r="B306" s="12" t="s">
        <v>379</v>
      </c>
      <c r="C306" s="3" t="s">
        <v>59</v>
      </c>
      <c r="D306" s="3" t="s">
        <v>380</v>
      </c>
      <c r="E306" s="3" t="s">
        <v>100</v>
      </c>
      <c r="F306" s="3">
        <v>750</v>
      </c>
      <c r="G306" s="3" t="s">
        <v>101</v>
      </c>
      <c r="H306" s="13">
        <f>1764000/1.12</f>
        <v>1574999.9999999998</v>
      </c>
      <c r="I306" s="3" t="s">
        <v>680</v>
      </c>
      <c r="J306" s="5" t="s">
        <v>102</v>
      </c>
    </row>
    <row r="307" spans="1:10" ht="30">
      <c r="A307" s="27" t="s">
        <v>1302</v>
      </c>
      <c r="B307" s="12" t="s">
        <v>434</v>
      </c>
      <c r="C307" s="4" t="s">
        <v>578</v>
      </c>
      <c r="D307" s="3" t="s">
        <v>434</v>
      </c>
      <c r="E307" s="4" t="s">
        <v>578</v>
      </c>
      <c r="F307" s="4" t="s">
        <v>578</v>
      </c>
      <c r="G307" s="4" t="s">
        <v>101</v>
      </c>
      <c r="H307" s="13">
        <f>SUM(H308:H605)</f>
        <v>90185170.340000033</v>
      </c>
      <c r="I307" s="22" t="s">
        <v>578</v>
      </c>
      <c r="J307" s="5" t="s">
        <v>102</v>
      </c>
    </row>
    <row r="308" spans="1:10" ht="30">
      <c r="A308" s="27" t="s">
        <v>1303</v>
      </c>
      <c r="B308" s="3" t="s">
        <v>1937</v>
      </c>
      <c r="C308" s="3" t="s">
        <v>58</v>
      </c>
      <c r="D308" s="3" t="s">
        <v>14</v>
      </c>
      <c r="E308" s="3" t="s">
        <v>100</v>
      </c>
      <c r="F308" s="3">
        <v>500</v>
      </c>
      <c r="G308" s="3" t="s">
        <v>101</v>
      </c>
      <c r="H308" s="5">
        <v>38000</v>
      </c>
      <c r="I308" s="22" t="s">
        <v>681</v>
      </c>
      <c r="J308" s="5" t="s">
        <v>102</v>
      </c>
    </row>
    <row r="309" spans="1:10" ht="30">
      <c r="A309" s="27" t="s">
        <v>1304</v>
      </c>
      <c r="B309" s="22" t="s">
        <v>1937</v>
      </c>
      <c r="C309" s="3" t="s">
        <v>58</v>
      </c>
      <c r="D309" s="3" t="s">
        <v>15</v>
      </c>
      <c r="E309" s="3" t="s">
        <v>100</v>
      </c>
      <c r="F309" s="3">
        <v>300</v>
      </c>
      <c r="G309" s="3" t="s">
        <v>101</v>
      </c>
      <c r="H309" s="5">
        <v>42300</v>
      </c>
      <c r="I309" s="22" t="s">
        <v>681</v>
      </c>
      <c r="J309" s="5" t="s">
        <v>102</v>
      </c>
    </row>
    <row r="310" spans="1:10" ht="30">
      <c r="A310" s="27" t="s">
        <v>1305</v>
      </c>
      <c r="B310" s="22" t="s">
        <v>1937</v>
      </c>
      <c r="C310" s="3" t="s">
        <v>58</v>
      </c>
      <c r="D310" s="3" t="s">
        <v>16</v>
      </c>
      <c r="E310" s="3" t="s">
        <v>100</v>
      </c>
      <c r="F310" s="3">
        <v>400</v>
      </c>
      <c r="G310" s="3" t="s">
        <v>101</v>
      </c>
      <c r="H310" s="5">
        <v>32400</v>
      </c>
      <c r="I310" s="22" t="s">
        <v>681</v>
      </c>
      <c r="J310" s="5" t="s">
        <v>102</v>
      </c>
    </row>
    <row r="311" spans="1:10" ht="30">
      <c r="A311" s="27" t="s">
        <v>1306</v>
      </c>
      <c r="B311" s="22" t="s">
        <v>1937</v>
      </c>
      <c r="C311" s="3" t="s">
        <v>58</v>
      </c>
      <c r="D311" s="3" t="s">
        <v>21</v>
      </c>
      <c r="E311" s="3" t="s">
        <v>100</v>
      </c>
      <c r="F311" s="3">
        <v>848</v>
      </c>
      <c r="G311" s="3" t="s">
        <v>101</v>
      </c>
      <c r="H311" s="5">
        <v>57664</v>
      </c>
      <c r="I311" s="22" t="s">
        <v>681</v>
      </c>
      <c r="J311" s="5" t="s">
        <v>102</v>
      </c>
    </row>
    <row r="312" spans="1:10" ht="30">
      <c r="A312" s="27" t="s">
        <v>1307</v>
      </c>
      <c r="B312" s="17" t="s">
        <v>863</v>
      </c>
      <c r="C312" s="3" t="s">
        <v>58</v>
      </c>
      <c r="D312" s="3" t="s">
        <v>863</v>
      </c>
      <c r="E312" s="3" t="s">
        <v>100</v>
      </c>
      <c r="F312" s="3">
        <v>4</v>
      </c>
      <c r="G312" s="3" t="s">
        <v>101</v>
      </c>
      <c r="H312" s="5">
        <v>21200</v>
      </c>
      <c r="I312" s="22" t="s">
        <v>681</v>
      </c>
      <c r="J312" s="5" t="s">
        <v>102</v>
      </c>
    </row>
    <row r="313" spans="1:10" ht="30">
      <c r="A313" s="27" t="s">
        <v>1308</v>
      </c>
      <c r="B313" s="17" t="s">
        <v>22</v>
      </c>
      <c r="C313" s="3" t="s">
        <v>58</v>
      </c>
      <c r="D313" s="3" t="s">
        <v>22</v>
      </c>
      <c r="E313" s="3" t="s">
        <v>100</v>
      </c>
      <c r="F313" s="3">
        <v>17</v>
      </c>
      <c r="G313" s="3" t="s">
        <v>101</v>
      </c>
      <c r="H313" s="5">
        <f>4340-983.86</f>
        <v>3356.14</v>
      </c>
      <c r="I313" s="22" t="s">
        <v>681</v>
      </c>
      <c r="J313" s="5" t="s">
        <v>102</v>
      </c>
    </row>
    <row r="314" spans="1:10" ht="30">
      <c r="A314" s="27" t="s">
        <v>1309</v>
      </c>
      <c r="B314" s="3" t="s">
        <v>908</v>
      </c>
      <c r="C314" s="3" t="s">
        <v>58</v>
      </c>
      <c r="D314" s="3" t="s">
        <v>864</v>
      </c>
      <c r="E314" s="3" t="s">
        <v>100</v>
      </c>
      <c r="F314" s="3">
        <v>80</v>
      </c>
      <c r="G314" s="3" t="s">
        <v>101</v>
      </c>
      <c r="H314" s="5">
        <f>130400-130400</f>
        <v>0</v>
      </c>
      <c r="I314" s="22" t="s">
        <v>681</v>
      </c>
      <c r="J314" s="5" t="s">
        <v>102</v>
      </c>
    </row>
    <row r="315" spans="1:10" ht="30">
      <c r="A315" s="27" t="s">
        <v>1310</v>
      </c>
      <c r="B315" s="3" t="s">
        <v>400</v>
      </c>
      <c r="C315" s="3" t="s">
        <v>58</v>
      </c>
      <c r="D315" s="3" t="s">
        <v>865</v>
      </c>
      <c r="E315" s="3" t="s">
        <v>100</v>
      </c>
      <c r="F315" s="3">
        <v>1</v>
      </c>
      <c r="G315" s="3" t="s">
        <v>101</v>
      </c>
      <c r="H315" s="5">
        <v>17000</v>
      </c>
      <c r="I315" s="22" t="s">
        <v>681</v>
      </c>
      <c r="J315" s="5" t="s">
        <v>102</v>
      </c>
    </row>
    <row r="316" spans="1:10" ht="30">
      <c r="A316" s="27" t="s">
        <v>1311</v>
      </c>
      <c r="B316" s="17" t="s">
        <v>427</v>
      </c>
      <c r="C316" s="3" t="s">
        <v>58</v>
      </c>
      <c r="D316" s="3" t="s">
        <v>866</v>
      </c>
      <c r="E316" s="3" t="s">
        <v>100</v>
      </c>
      <c r="F316" s="3">
        <v>20</v>
      </c>
      <c r="G316" s="3" t="s">
        <v>101</v>
      </c>
      <c r="H316" s="5">
        <v>110000</v>
      </c>
      <c r="I316" s="22" t="s">
        <v>681</v>
      </c>
      <c r="J316" s="5" t="s">
        <v>102</v>
      </c>
    </row>
    <row r="317" spans="1:10" ht="30">
      <c r="A317" s="27" t="s">
        <v>1312</v>
      </c>
      <c r="B317" s="17" t="s">
        <v>867</v>
      </c>
      <c r="C317" s="3" t="s">
        <v>58</v>
      </c>
      <c r="D317" s="3" t="s">
        <v>867</v>
      </c>
      <c r="E317" s="3" t="s">
        <v>100</v>
      </c>
      <c r="F317" s="3">
        <v>4</v>
      </c>
      <c r="G317" s="3" t="s">
        <v>101</v>
      </c>
      <c r="H317" s="5">
        <v>28760</v>
      </c>
      <c r="I317" s="22" t="s">
        <v>681</v>
      </c>
      <c r="J317" s="5" t="s">
        <v>102</v>
      </c>
    </row>
    <row r="318" spans="1:10" ht="30">
      <c r="A318" s="27" t="s">
        <v>1313</v>
      </c>
      <c r="B318" s="17" t="s">
        <v>394</v>
      </c>
      <c r="C318" s="3" t="s">
        <v>58</v>
      </c>
      <c r="D318" s="3" t="s">
        <v>394</v>
      </c>
      <c r="E318" s="3" t="s">
        <v>100</v>
      </c>
      <c r="F318" s="3">
        <v>24</v>
      </c>
      <c r="G318" s="3" t="s">
        <v>101</v>
      </c>
      <c r="H318" s="5">
        <v>600000</v>
      </c>
      <c r="I318" s="22" t="s">
        <v>681</v>
      </c>
      <c r="J318" s="5" t="s">
        <v>102</v>
      </c>
    </row>
    <row r="319" spans="1:10" ht="30">
      <c r="A319" s="27" t="s">
        <v>1314</v>
      </c>
      <c r="B319" s="17" t="s">
        <v>387</v>
      </c>
      <c r="C319" s="3" t="s">
        <v>58</v>
      </c>
      <c r="D319" s="3" t="s">
        <v>387</v>
      </c>
      <c r="E319" s="3" t="s">
        <v>100</v>
      </c>
      <c r="F319" s="3">
        <v>1</v>
      </c>
      <c r="G319" s="3" t="s">
        <v>101</v>
      </c>
      <c r="H319" s="5">
        <v>25000</v>
      </c>
      <c r="I319" s="22" t="s">
        <v>681</v>
      </c>
      <c r="J319" s="5" t="s">
        <v>102</v>
      </c>
    </row>
    <row r="320" spans="1:10" ht="30">
      <c r="A320" s="27" t="s">
        <v>1315</v>
      </c>
      <c r="B320" s="17" t="s">
        <v>17</v>
      </c>
      <c r="C320" s="3" t="s">
        <v>58</v>
      </c>
      <c r="D320" s="3" t="s">
        <v>17</v>
      </c>
      <c r="E320" s="3" t="s">
        <v>100</v>
      </c>
      <c r="F320" s="3">
        <v>80</v>
      </c>
      <c r="G320" s="3" t="s">
        <v>101</v>
      </c>
      <c r="H320" s="5">
        <v>6400</v>
      </c>
      <c r="I320" s="22" t="s">
        <v>681</v>
      </c>
      <c r="J320" s="5" t="s">
        <v>102</v>
      </c>
    </row>
    <row r="321" spans="1:10" ht="30">
      <c r="A321" s="27" t="s">
        <v>1316</v>
      </c>
      <c r="B321" s="17" t="s">
        <v>868</v>
      </c>
      <c r="C321" s="3" t="s">
        <v>58</v>
      </c>
      <c r="D321" s="3" t="s">
        <v>868</v>
      </c>
      <c r="E321" s="3" t="s">
        <v>100</v>
      </c>
      <c r="F321" s="3">
        <v>3</v>
      </c>
      <c r="G321" s="3" t="s">
        <v>101</v>
      </c>
      <c r="H321" s="5">
        <v>15000</v>
      </c>
      <c r="I321" s="22" t="s">
        <v>681</v>
      </c>
      <c r="J321" s="5" t="s">
        <v>102</v>
      </c>
    </row>
    <row r="322" spans="1:10" ht="30">
      <c r="A322" s="27" t="s">
        <v>1317</v>
      </c>
      <c r="B322" s="17" t="s">
        <v>401</v>
      </c>
      <c r="C322" s="3" t="s">
        <v>58</v>
      </c>
      <c r="D322" s="3" t="s">
        <v>918</v>
      </c>
      <c r="E322" s="3" t="s">
        <v>100</v>
      </c>
      <c r="F322" s="3">
        <v>59</v>
      </c>
      <c r="G322" s="3" t="s">
        <v>101</v>
      </c>
      <c r="H322" s="5">
        <v>70800</v>
      </c>
      <c r="I322" s="22" t="s">
        <v>681</v>
      </c>
      <c r="J322" s="5" t="s">
        <v>102</v>
      </c>
    </row>
    <row r="323" spans="1:10" ht="30">
      <c r="A323" s="27" t="s">
        <v>1318</v>
      </c>
      <c r="B323" s="17" t="s">
        <v>424</v>
      </c>
      <c r="C323" s="3" t="s">
        <v>58</v>
      </c>
      <c r="D323" s="3" t="s">
        <v>869</v>
      </c>
      <c r="E323" s="3" t="s">
        <v>100</v>
      </c>
      <c r="F323" s="3">
        <v>2</v>
      </c>
      <c r="G323" s="3" t="s">
        <v>101</v>
      </c>
      <c r="H323" s="5">
        <v>20000</v>
      </c>
      <c r="I323" s="22" t="s">
        <v>681</v>
      </c>
      <c r="J323" s="5" t="s">
        <v>102</v>
      </c>
    </row>
    <row r="324" spans="1:10" ht="30">
      <c r="A324" s="27" t="s">
        <v>1319</v>
      </c>
      <c r="B324" s="17" t="s">
        <v>427</v>
      </c>
      <c r="C324" s="3" t="s">
        <v>58</v>
      </c>
      <c r="D324" s="3" t="s">
        <v>1934</v>
      </c>
      <c r="E324" s="3" t="s">
        <v>100</v>
      </c>
      <c r="F324" s="3">
        <v>10</v>
      </c>
      <c r="G324" s="3" t="s">
        <v>101</v>
      </c>
      <c r="H324" s="5">
        <v>135000</v>
      </c>
      <c r="I324" s="22" t="s">
        <v>681</v>
      </c>
      <c r="J324" s="5" t="s">
        <v>102</v>
      </c>
    </row>
    <row r="325" spans="1:10" ht="30">
      <c r="A325" s="27" t="s">
        <v>1320</v>
      </c>
      <c r="B325" s="17" t="s">
        <v>909</v>
      </c>
      <c r="C325" s="3" t="s">
        <v>58</v>
      </c>
      <c r="D325" s="3" t="s">
        <v>1933</v>
      </c>
      <c r="E325" s="3" t="s">
        <v>100</v>
      </c>
      <c r="F325" s="3">
        <v>5</v>
      </c>
      <c r="G325" s="3" t="s">
        <v>101</v>
      </c>
      <c r="H325" s="5">
        <v>149500</v>
      </c>
      <c r="I325" s="22" t="s">
        <v>681</v>
      </c>
      <c r="J325" s="5" t="s">
        <v>102</v>
      </c>
    </row>
    <row r="326" spans="1:10" ht="30">
      <c r="A326" s="27" t="s">
        <v>1321</v>
      </c>
      <c r="B326" s="17" t="s">
        <v>600</v>
      </c>
      <c r="C326" s="3" t="s">
        <v>58</v>
      </c>
      <c r="D326" s="3" t="s">
        <v>870</v>
      </c>
      <c r="E326" s="3" t="s">
        <v>100</v>
      </c>
      <c r="F326" s="3">
        <v>2</v>
      </c>
      <c r="G326" s="3" t="s">
        <v>101</v>
      </c>
      <c r="H326" s="5">
        <v>4780</v>
      </c>
      <c r="I326" s="22" t="s">
        <v>681</v>
      </c>
      <c r="J326" s="5" t="s">
        <v>102</v>
      </c>
    </row>
    <row r="327" spans="1:10" ht="30">
      <c r="A327" s="27" t="s">
        <v>1322</v>
      </c>
      <c r="B327" s="17" t="s">
        <v>910</v>
      </c>
      <c r="C327" s="3" t="s">
        <v>58</v>
      </c>
      <c r="D327" s="3" t="s">
        <v>871</v>
      </c>
      <c r="E327" s="3" t="s">
        <v>100</v>
      </c>
      <c r="F327" s="3">
        <v>2</v>
      </c>
      <c r="G327" s="3" t="s">
        <v>101</v>
      </c>
      <c r="H327" s="5">
        <v>6000</v>
      </c>
      <c r="I327" s="22" t="s">
        <v>681</v>
      </c>
      <c r="J327" s="5" t="s">
        <v>102</v>
      </c>
    </row>
    <row r="328" spans="1:10" ht="30">
      <c r="A328" s="27" t="s">
        <v>1323</v>
      </c>
      <c r="B328" s="17" t="s">
        <v>911</v>
      </c>
      <c r="C328" s="3" t="s">
        <v>58</v>
      </c>
      <c r="D328" s="3" t="s">
        <v>872</v>
      </c>
      <c r="E328" s="3" t="s">
        <v>100</v>
      </c>
      <c r="F328" s="3">
        <v>3000</v>
      </c>
      <c r="G328" s="3" t="s">
        <v>101</v>
      </c>
      <c r="H328" s="5">
        <f>45000+45000</f>
        <v>90000</v>
      </c>
      <c r="I328" s="22" t="s">
        <v>681</v>
      </c>
      <c r="J328" s="5" t="s">
        <v>102</v>
      </c>
    </row>
    <row r="329" spans="1:10" ht="45">
      <c r="A329" s="27" t="s">
        <v>1324</v>
      </c>
      <c r="B329" s="17" t="s">
        <v>912</v>
      </c>
      <c r="C329" s="3" t="s">
        <v>58</v>
      </c>
      <c r="D329" s="3" t="s">
        <v>873</v>
      </c>
      <c r="E329" s="3" t="s">
        <v>100</v>
      </c>
      <c r="F329" s="3">
        <v>400</v>
      </c>
      <c r="G329" s="3" t="s">
        <v>101</v>
      </c>
      <c r="H329" s="5">
        <f>4500000-45000-500000-1200000-100000-900000</f>
        <v>1755000</v>
      </c>
      <c r="I329" s="22" t="s">
        <v>681</v>
      </c>
      <c r="J329" s="5" t="s">
        <v>102</v>
      </c>
    </row>
    <row r="330" spans="1:10" ht="30">
      <c r="A330" s="27" t="s">
        <v>1325</v>
      </c>
      <c r="B330" s="17" t="s">
        <v>874</v>
      </c>
      <c r="C330" s="3" t="s">
        <v>58</v>
      </c>
      <c r="D330" s="3" t="s">
        <v>874</v>
      </c>
      <c r="E330" s="3" t="s">
        <v>100</v>
      </c>
      <c r="F330" s="3">
        <v>1500</v>
      </c>
      <c r="G330" s="3" t="s">
        <v>101</v>
      </c>
      <c r="H330" s="5">
        <f>4000000+500000</f>
        <v>4500000</v>
      </c>
      <c r="I330" s="22" t="s">
        <v>681</v>
      </c>
      <c r="J330" s="5" t="s">
        <v>102</v>
      </c>
    </row>
    <row r="331" spans="1:10" ht="30">
      <c r="A331" s="27" t="s">
        <v>1326</v>
      </c>
      <c r="B331" s="17" t="s">
        <v>410</v>
      </c>
      <c r="C331" s="3" t="s">
        <v>58</v>
      </c>
      <c r="D331" s="3" t="s">
        <v>875</v>
      </c>
      <c r="E331" s="3" t="s">
        <v>100</v>
      </c>
      <c r="F331" s="3">
        <v>3100</v>
      </c>
      <c r="G331" s="3" t="s">
        <v>101</v>
      </c>
      <c r="H331" s="5">
        <v>450000</v>
      </c>
      <c r="I331" s="22" t="s">
        <v>681</v>
      </c>
      <c r="J331" s="5" t="s">
        <v>102</v>
      </c>
    </row>
    <row r="332" spans="1:10" ht="30">
      <c r="A332" s="27" t="s">
        <v>1327</v>
      </c>
      <c r="B332" s="17" t="s">
        <v>82</v>
      </c>
      <c r="C332" s="3" t="s">
        <v>58</v>
      </c>
      <c r="D332" s="3" t="s">
        <v>876</v>
      </c>
      <c r="E332" s="3" t="s">
        <v>100</v>
      </c>
      <c r="F332" s="3">
        <v>3</v>
      </c>
      <c r="G332" s="3" t="s">
        <v>101</v>
      </c>
      <c r="H332" s="5">
        <v>125100</v>
      </c>
      <c r="I332" s="22" t="s">
        <v>681</v>
      </c>
      <c r="J332" s="5" t="s">
        <v>102</v>
      </c>
    </row>
    <row r="333" spans="1:10" ht="30">
      <c r="A333" s="27" t="s">
        <v>1328</v>
      </c>
      <c r="B333" s="17" t="s">
        <v>913</v>
      </c>
      <c r="C333" s="3" t="s">
        <v>58</v>
      </c>
      <c r="D333" s="3" t="s">
        <v>877</v>
      </c>
      <c r="E333" s="3" t="s">
        <v>100</v>
      </c>
      <c r="F333" s="3">
        <v>600</v>
      </c>
      <c r="G333" s="3" t="s">
        <v>101</v>
      </c>
      <c r="H333" s="5">
        <f>1800000+1200000</f>
        <v>3000000</v>
      </c>
      <c r="I333" s="22" t="s">
        <v>681</v>
      </c>
      <c r="J333" s="5" t="s">
        <v>102</v>
      </c>
    </row>
    <row r="334" spans="1:10" ht="30">
      <c r="A334" s="27" t="s">
        <v>1329</v>
      </c>
      <c r="B334" s="17" t="s">
        <v>914</v>
      </c>
      <c r="C334" s="3" t="s">
        <v>58</v>
      </c>
      <c r="D334" s="3" t="s">
        <v>878</v>
      </c>
      <c r="E334" s="3" t="s">
        <v>100</v>
      </c>
      <c r="F334" s="3">
        <v>20</v>
      </c>
      <c r="G334" s="3" t="s">
        <v>101</v>
      </c>
      <c r="H334" s="5">
        <f>700000+900000</f>
        <v>1600000</v>
      </c>
      <c r="I334" s="22" t="s">
        <v>681</v>
      </c>
      <c r="J334" s="5" t="s">
        <v>102</v>
      </c>
    </row>
    <row r="335" spans="1:10" ht="30">
      <c r="A335" s="27" t="s">
        <v>1330</v>
      </c>
      <c r="B335" s="3" t="s">
        <v>914</v>
      </c>
      <c r="C335" s="3" t="s">
        <v>58</v>
      </c>
      <c r="D335" s="3" t="s">
        <v>879</v>
      </c>
      <c r="E335" s="3" t="s">
        <v>100</v>
      </c>
      <c r="F335" s="3">
        <v>10</v>
      </c>
      <c r="G335" s="3" t="s">
        <v>101</v>
      </c>
      <c r="H335" s="5">
        <v>700000</v>
      </c>
      <c r="I335" s="22" t="s">
        <v>681</v>
      </c>
      <c r="J335" s="5" t="s">
        <v>102</v>
      </c>
    </row>
    <row r="336" spans="1:10" ht="30">
      <c r="A336" s="27" t="s">
        <v>1331</v>
      </c>
      <c r="B336" s="3" t="s">
        <v>599</v>
      </c>
      <c r="C336" s="3" t="s">
        <v>58</v>
      </c>
      <c r="D336" s="3" t="s">
        <v>880</v>
      </c>
      <c r="E336" s="3" t="s">
        <v>100</v>
      </c>
      <c r="F336" s="3">
        <v>20</v>
      </c>
      <c r="G336" s="3" t="s">
        <v>101</v>
      </c>
      <c r="H336" s="5">
        <f>800000+100000</f>
        <v>900000</v>
      </c>
      <c r="I336" s="22" t="s">
        <v>681</v>
      </c>
      <c r="J336" s="5" t="s">
        <v>102</v>
      </c>
    </row>
    <row r="337" spans="1:10" ht="30">
      <c r="A337" s="27" t="s">
        <v>1332</v>
      </c>
      <c r="B337" s="3" t="s">
        <v>881</v>
      </c>
      <c r="C337" s="3" t="s">
        <v>58</v>
      </c>
      <c r="D337" s="3" t="s">
        <v>881</v>
      </c>
      <c r="E337" s="3" t="s">
        <v>100</v>
      </c>
      <c r="F337" s="3">
        <v>4</v>
      </c>
      <c r="G337" s="3" t="s">
        <v>101</v>
      </c>
      <c r="H337" s="5">
        <v>40232</v>
      </c>
      <c r="I337" s="22" t="s">
        <v>681</v>
      </c>
      <c r="J337" s="5" t="s">
        <v>102</v>
      </c>
    </row>
    <row r="338" spans="1:10" ht="30">
      <c r="A338" s="27" t="s">
        <v>1333</v>
      </c>
      <c r="B338" s="3" t="s">
        <v>882</v>
      </c>
      <c r="C338" s="3" t="s">
        <v>58</v>
      </c>
      <c r="D338" s="3" t="s">
        <v>882</v>
      </c>
      <c r="E338" s="3" t="s">
        <v>100</v>
      </c>
      <c r="F338" s="3">
        <v>3</v>
      </c>
      <c r="G338" s="3" t="s">
        <v>101</v>
      </c>
      <c r="H338" s="5">
        <v>137970</v>
      </c>
      <c r="I338" s="22" t="s">
        <v>681</v>
      </c>
      <c r="J338" s="5" t="s">
        <v>102</v>
      </c>
    </row>
    <row r="339" spans="1:10" ht="30">
      <c r="A339" s="27" t="s">
        <v>1334</v>
      </c>
      <c r="B339" s="3" t="s">
        <v>883</v>
      </c>
      <c r="C339" s="3" t="s">
        <v>58</v>
      </c>
      <c r="D339" s="3" t="s">
        <v>883</v>
      </c>
      <c r="E339" s="3" t="s">
        <v>100</v>
      </c>
      <c r="F339" s="3">
        <v>1</v>
      </c>
      <c r="G339" s="3" t="s">
        <v>101</v>
      </c>
      <c r="H339" s="5">
        <v>14990</v>
      </c>
      <c r="I339" s="22" t="s">
        <v>681</v>
      </c>
      <c r="J339" s="5" t="s">
        <v>102</v>
      </c>
    </row>
    <row r="340" spans="1:10" ht="30">
      <c r="A340" s="27" t="s">
        <v>1335</v>
      </c>
      <c r="B340" s="3" t="s">
        <v>884</v>
      </c>
      <c r="C340" s="3" t="s">
        <v>58</v>
      </c>
      <c r="D340" s="3" t="s">
        <v>884</v>
      </c>
      <c r="E340" s="3" t="s">
        <v>100</v>
      </c>
      <c r="F340" s="3">
        <v>1</v>
      </c>
      <c r="G340" s="3" t="s">
        <v>101</v>
      </c>
      <c r="H340" s="5">
        <v>4590</v>
      </c>
      <c r="I340" s="22" t="s">
        <v>681</v>
      </c>
      <c r="J340" s="5" t="s">
        <v>102</v>
      </c>
    </row>
    <row r="341" spans="1:10" ht="30">
      <c r="A341" s="27" t="s">
        <v>1336</v>
      </c>
      <c r="B341" s="17" t="s">
        <v>885</v>
      </c>
      <c r="C341" s="3" t="s">
        <v>58</v>
      </c>
      <c r="D341" s="3" t="s">
        <v>885</v>
      </c>
      <c r="E341" s="3" t="s">
        <v>100</v>
      </c>
      <c r="F341" s="3">
        <v>10</v>
      </c>
      <c r="G341" s="3" t="s">
        <v>101</v>
      </c>
      <c r="H341" s="5">
        <v>200000</v>
      </c>
      <c r="I341" s="22" t="s">
        <v>681</v>
      </c>
      <c r="J341" s="5" t="s">
        <v>102</v>
      </c>
    </row>
    <row r="342" spans="1:10" ht="30">
      <c r="A342" s="27" t="s">
        <v>1337</v>
      </c>
      <c r="B342" s="3" t="s">
        <v>915</v>
      </c>
      <c r="C342" s="3" t="s">
        <v>58</v>
      </c>
      <c r="D342" s="3" t="s">
        <v>886</v>
      </c>
      <c r="E342" s="3" t="s">
        <v>916</v>
      </c>
      <c r="F342" s="3">
        <v>12</v>
      </c>
      <c r="G342" s="3" t="s">
        <v>101</v>
      </c>
      <c r="H342" s="5">
        <v>57600</v>
      </c>
      <c r="I342" s="22" t="s">
        <v>681</v>
      </c>
      <c r="J342" s="5" t="s">
        <v>102</v>
      </c>
    </row>
    <row r="343" spans="1:10" ht="30">
      <c r="A343" s="27" t="s">
        <v>1338</v>
      </c>
      <c r="B343" s="3" t="s">
        <v>917</v>
      </c>
      <c r="C343" s="3" t="s">
        <v>58</v>
      </c>
      <c r="D343" s="3" t="s">
        <v>917</v>
      </c>
      <c r="E343" s="3" t="s">
        <v>100</v>
      </c>
      <c r="F343" s="3">
        <v>1</v>
      </c>
      <c r="G343" s="3" t="s">
        <v>101</v>
      </c>
      <c r="H343" s="5">
        <v>25000</v>
      </c>
      <c r="I343" s="22" t="s">
        <v>681</v>
      </c>
      <c r="J343" s="5" t="s">
        <v>102</v>
      </c>
    </row>
    <row r="344" spans="1:10" ht="45">
      <c r="A344" s="27" t="s">
        <v>1339</v>
      </c>
      <c r="B344" s="3" t="s">
        <v>399</v>
      </c>
      <c r="C344" s="3" t="s">
        <v>58</v>
      </c>
      <c r="D344" s="3" t="s">
        <v>887</v>
      </c>
      <c r="E344" s="3" t="s">
        <v>100</v>
      </c>
      <c r="F344" s="3">
        <v>26</v>
      </c>
      <c r="G344" s="3" t="s">
        <v>101</v>
      </c>
      <c r="H344" s="5">
        <v>364000</v>
      </c>
      <c r="I344" s="22" t="s">
        <v>681</v>
      </c>
      <c r="J344" s="5" t="s">
        <v>102</v>
      </c>
    </row>
    <row r="345" spans="1:10" ht="30">
      <c r="A345" s="27" t="s">
        <v>1340</v>
      </c>
      <c r="B345" s="22" t="s">
        <v>399</v>
      </c>
      <c r="C345" s="3" t="s">
        <v>58</v>
      </c>
      <c r="D345" s="3" t="s">
        <v>888</v>
      </c>
      <c r="E345" s="3" t="s">
        <v>100</v>
      </c>
      <c r="F345" s="3">
        <v>25</v>
      </c>
      <c r="G345" s="3" t="s">
        <v>101</v>
      </c>
      <c r="H345" s="5">
        <v>350000</v>
      </c>
      <c r="I345" s="22" t="s">
        <v>681</v>
      </c>
      <c r="J345" s="5" t="s">
        <v>102</v>
      </c>
    </row>
    <row r="346" spans="1:10" ht="30">
      <c r="A346" s="27" t="s">
        <v>1341</v>
      </c>
      <c r="B346" s="22" t="s">
        <v>399</v>
      </c>
      <c r="C346" s="3" t="s">
        <v>58</v>
      </c>
      <c r="D346" s="3" t="s">
        <v>889</v>
      </c>
      <c r="E346" s="3" t="s">
        <v>100</v>
      </c>
      <c r="F346" s="3">
        <v>6</v>
      </c>
      <c r="G346" s="3" t="s">
        <v>101</v>
      </c>
      <c r="H346" s="5">
        <v>342000</v>
      </c>
      <c r="I346" s="22" t="s">
        <v>681</v>
      </c>
      <c r="J346" s="5" t="s">
        <v>102</v>
      </c>
    </row>
    <row r="347" spans="1:10" ht="30">
      <c r="A347" s="27" t="s">
        <v>1342</v>
      </c>
      <c r="B347" s="22" t="s">
        <v>399</v>
      </c>
      <c r="C347" s="3" t="s">
        <v>58</v>
      </c>
      <c r="D347" s="3" t="s">
        <v>890</v>
      </c>
      <c r="E347" s="3" t="s">
        <v>100</v>
      </c>
      <c r="F347" s="3">
        <v>2</v>
      </c>
      <c r="G347" s="3" t="s">
        <v>101</v>
      </c>
      <c r="H347" s="5">
        <v>64000</v>
      </c>
      <c r="I347" s="22" t="s">
        <v>681</v>
      </c>
      <c r="J347" s="5" t="s">
        <v>102</v>
      </c>
    </row>
    <row r="348" spans="1:10" ht="30">
      <c r="A348" s="27" t="s">
        <v>1343</v>
      </c>
      <c r="B348" s="3" t="s">
        <v>393</v>
      </c>
      <c r="C348" s="3" t="s">
        <v>58</v>
      </c>
      <c r="D348" s="3" t="s">
        <v>393</v>
      </c>
      <c r="E348" s="3" t="s">
        <v>100</v>
      </c>
      <c r="F348" s="3">
        <v>12</v>
      </c>
      <c r="G348" s="3" t="s">
        <v>101</v>
      </c>
      <c r="H348" s="5">
        <v>12000</v>
      </c>
      <c r="I348" s="22" t="s">
        <v>681</v>
      </c>
      <c r="J348" s="5" t="s">
        <v>102</v>
      </c>
    </row>
    <row r="349" spans="1:10" ht="30">
      <c r="A349" s="27" t="s">
        <v>1344</v>
      </c>
      <c r="B349" s="3" t="s">
        <v>411</v>
      </c>
      <c r="C349" s="3" t="s">
        <v>58</v>
      </c>
      <c r="D349" s="3" t="s">
        <v>891</v>
      </c>
      <c r="E349" s="3" t="s">
        <v>100</v>
      </c>
      <c r="F349" s="3">
        <v>100</v>
      </c>
      <c r="G349" s="3" t="s">
        <v>101</v>
      </c>
      <c r="H349" s="5">
        <v>3000</v>
      </c>
      <c r="I349" s="22" t="s">
        <v>681</v>
      </c>
      <c r="J349" s="5" t="s">
        <v>102</v>
      </c>
    </row>
    <row r="350" spans="1:10" ht="30">
      <c r="A350" s="27" t="s">
        <v>1345</v>
      </c>
      <c r="B350" s="3" t="s">
        <v>392</v>
      </c>
      <c r="C350" s="3" t="s">
        <v>58</v>
      </c>
      <c r="D350" s="3" t="s">
        <v>892</v>
      </c>
      <c r="E350" s="3" t="s">
        <v>100</v>
      </c>
      <c r="F350" s="3">
        <v>4</v>
      </c>
      <c r="G350" s="3" t="s">
        <v>101</v>
      </c>
      <c r="H350" s="5">
        <v>80000</v>
      </c>
      <c r="I350" s="22" t="s">
        <v>681</v>
      </c>
      <c r="J350" s="5" t="s">
        <v>102</v>
      </c>
    </row>
    <row r="351" spans="1:10" ht="45">
      <c r="A351" s="27" t="s">
        <v>1346</v>
      </c>
      <c r="B351" s="3" t="s">
        <v>399</v>
      </c>
      <c r="C351" s="3" t="s">
        <v>58</v>
      </c>
      <c r="D351" s="3" t="s">
        <v>893</v>
      </c>
      <c r="E351" s="3" t="s">
        <v>100</v>
      </c>
      <c r="F351" s="3">
        <v>12</v>
      </c>
      <c r="G351" s="3" t="s">
        <v>101</v>
      </c>
      <c r="H351" s="5">
        <v>150000</v>
      </c>
      <c r="I351" s="22" t="s">
        <v>681</v>
      </c>
      <c r="J351" s="5" t="s">
        <v>102</v>
      </c>
    </row>
    <row r="352" spans="1:10" ht="45">
      <c r="A352" s="27" t="s">
        <v>1347</v>
      </c>
      <c r="B352" s="3" t="s">
        <v>399</v>
      </c>
      <c r="C352" s="3" t="s">
        <v>58</v>
      </c>
      <c r="D352" s="3" t="s">
        <v>894</v>
      </c>
      <c r="E352" s="3" t="s">
        <v>100</v>
      </c>
      <c r="F352" s="3">
        <v>12</v>
      </c>
      <c r="G352" s="3" t="s">
        <v>101</v>
      </c>
      <c r="H352" s="5">
        <v>150000</v>
      </c>
      <c r="I352" s="22" t="s">
        <v>681</v>
      </c>
      <c r="J352" s="5" t="s">
        <v>102</v>
      </c>
    </row>
    <row r="353" spans="1:10" ht="60">
      <c r="A353" s="27" t="s">
        <v>1348</v>
      </c>
      <c r="B353" s="22" t="s">
        <v>399</v>
      </c>
      <c r="C353" s="3" t="s">
        <v>58</v>
      </c>
      <c r="D353" s="3" t="s">
        <v>895</v>
      </c>
      <c r="E353" s="3" t="s">
        <v>100</v>
      </c>
      <c r="F353" s="3">
        <v>12</v>
      </c>
      <c r="G353" s="3" t="s">
        <v>101</v>
      </c>
      <c r="H353" s="5">
        <v>150000</v>
      </c>
      <c r="I353" s="22" t="s">
        <v>681</v>
      </c>
      <c r="J353" s="5" t="s">
        <v>102</v>
      </c>
    </row>
    <row r="354" spans="1:10" ht="60">
      <c r="A354" s="27" t="s">
        <v>1349</v>
      </c>
      <c r="B354" s="22" t="s">
        <v>399</v>
      </c>
      <c r="C354" s="3" t="s">
        <v>58</v>
      </c>
      <c r="D354" s="3" t="s">
        <v>896</v>
      </c>
      <c r="E354" s="3" t="s">
        <v>100</v>
      </c>
      <c r="F354" s="3">
        <v>12</v>
      </c>
      <c r="G354" s="3" t="s">
        <v>101</v>
      </c>
      <c r="H354" s="5">
        <v>150000</v>
      </c>
      <c r="I354" s="22" t="s">
        <v>681</v>
      </c>
      <c r="J354" s="5" t="s">
        <v>102</v>
      </c>
    </row>
    <row r="355" spans="1:10" ht="30">
      <c r="A355" s="27" t="s">
        <v>1350</v>
      </c>
      <c r="B355" s="22" t="s">
        <v>399</v>
      </c>
      <c r="C355" s="3" t="s">
        <v>58</v>
      </c>
      <c r="D355" s="3" t="s">
        <v>419</v>
      </c>
      <c r="E355" s="3" t="s">
        <v>100</v>
      </c>
      <c r="F355" s="3">
        <v>69</v>
      </c>
      <c r="G355" s="3" t="s">
        <v>101</v>
      </c>
      <c r="H355" s="5">
        <f>1198530-347400</f>
        <v>851130</v>
      </c>
      <c r="I355" s="22" t="s">
        <v>681</v>
      </c>
      <c r="J355" s="5" t="s">
        <v>102</v>
      </c>
    </row>
    <row r="356" spans="1:10" ht="30">
      <c r="A356" s="27" t="s">
        <v>1351</v>
      </c>
      <c r="B356" s="22" t="s">
        <v>399</v>
      </c>
      <c r="C356" s="3" t="s">
        <v>58</v>
      </c>
      <c r="D356" s="3" t="s">
        <v>420</v>
      </c>
      <c r="E356" s="3" t="s">
        <v>100</v>
      </c>
      <c r="F356" s="3">
        <v>32</v>
      </c>
      <c r="G356" s="3" t="s">
        <v>101</v>
      </c>
      <c r="H356" s="5">
        <f>608000-175600</f>
        <v>432400</v>
      </c>
      <c r="I356" s="22" t="s">
        <v>681</v>
      </c>
      <c r="J356" s="5" t="s">
        <v>102</v>
      </c>
    </row>
    <row r="357" spans="1:10" ht="30">
      <c r="A357" s="27" t="s">
        <v>1352</v>
      </c>
      <c r="B357" s="22" t="s">
        <v>399</v>
      </c>
      <c r="C357" s="3" t="s">
        <v>58</v>
      </c>
      <c r="D357" s="3" t="s">
        <v>897</v>
      </c>
      <c r="E357" s="3" t="s">
        <v>100</v>
      </c>
      <c r="F357" s="3">
        <v>35</v>
      </c>
      <c r="G357" s="3" t="s">
        <v>101</v>
      </c>
      <c r="H357" s="5">
        <f>507500-332142.86-66964.29</f>
        <v>108392.85000000002</v>
      </c>
      <c r="I357" s="22" t="s">
        <v>681</v>
      </c>
      <c r="J357" s="5" t="s">
        <v>102</v>
      </c>
    </row>
    <row r="358" spans="1:10" ht="60">
      <c r="A358" s="27" t="s">
        <v>1353</v>
      </c>
      <c r="B358" s="22" t="s">
        <v>399</v>
      </c>
      <c r="C358" s="22" t="s">
        <v>58</v>
      </c>
      <c r="D358" s="3" t="s">
        <v>898</v>
      </c>
      <c r="E358" s="3" t="s">
        <v>100</v>
      </c>
      <c r="F358" s="3">
        <v>6</v>
      </c>
      <c r="G358" s="3" t="s">
        <v>101</v>
      </c>
      <c r="H358" s="5">
        <v>180540</v>
      </c>
      <c r="I358" s="22" t="s">
        <v>681</v>
      </c>
      <c r="J358" s="5" t="s">
        <v>102</v>
      </c>
    </row>
    <row r="359" spans="1:10" ht="60">
      <c r="A359" s="27" t="s">
        <v>1354</v>
      </c>
      <c r="B359" s="22" t="s">
        <v>399</v>
      </c>
      <c r="C359" s="22" t="s">
        <v>58</v>
      </c>
      <c r="D359" s="3" t="s">
        <v>899</v>
      </c>
      <c r="E359" s="3" t="s">
        <v>100</v>
      </c>
      <c r="F359" s="3">
        <v>6</v>
      </c>
      <c r="G359" s="3" t="s">
        <v>101</v>
      </c>
      <c r="H359" s="5">
        <v>309660</v>
      </c>
      <c r="I359" s="22" t="s">
        <v>681</v>
      </c>
      <c r="J359" s="5" t="s">
        <v>102</v>
      </c>
    </row>
    <row r="360" spans="1:10" ht="60">
      <c r="A360" s="27" t="s">
        <v>1355</v>
      </c>
      <c r="B360" s="22" t="s">
        <v>399</v>
      </c>
      <c r="C360" s="22" t="s">
        <v>58</v>
      </c>
      <c r="D360" s="3" t="s">
        <v>900</v>
      </c>
      <c r="E360" s="3" t="s">
        <v>100</v>
      </c>
      <c r="F360" s="3">
        <v>6</v>
      </c>
      <c r="G360" s="3" t="s">
        <v>101</v>
      </c>
      <c r="H360" s="5">
        <v>309660</v>
      </c>
      <c r="I360" s="22" t="s">
        <v>681</v>
      </c>
      <c r="J360" s="5" t="s">
        <v>102</v>
      </c>
    </row>
    <row r="361" spans="1:10" ht="60">
      <c r="A361" s="27" t="s">
        <v>1356</v>
      </c>
      <c r="B361" s="22" t="s">
        <v>399</v>
      </c>
      <c r="C361" s="22" t="s">
        <v>58</v>
      </c>
      <c r="D361" s="3" t="s">
        <v>901</v>
      </c>
      <c r="E361" s="3" t="s">
        <v>100</v>
      </c>
      <c r="F361" s="3">
        <v>6</v>
      </c>
      <c r="G361" s="3" t="s">
        <v>101</v>
      </c>
      <c r="H361" s="5">
        <v>309660</v>
      </c>
      <c r="I361" s="22" t="s">
        <v>681</v>
      </c>
      <c r="J361" s="5" t="s">
        <v>102</v>
      </c>
    </row>
    <row r="362" spans="1:10" ht="30">
      <c r="A362" s="27" t="s">
        <v>1357</v>
      </c>
      <c r="B362" s="22" t="s">
        <v>399</v>
      </c>
      <c r="C362" s="22" t="s">
        <v>58</v>
      </c>
      <c r="D362" s="3" t="s">
        <v>902</v>
      </c>
      <c r="E362" s="3" t="s">
        <v>100</v>
      </c>
      <c r="F362" s="3">
        <v>30</v>
      </c>
      <c r="G362" s="3" t="s">
        <v>101</v>
      </c>
      <c r="H362" s="5">
        <v>628.93000000000757</v>
      </c>
      <c r="I362" s="22" t="s">
        <v>681</v>
      </c>
      <c r="J362" s="5" t="s">
        <v>102</v>
      </c>
    </row>
    <row r="363" spans="1:10" ht="30">
      <c r="A363" s="27" t="s">
        <v>1358</v>
      </c>
      <c r="B363" s="22" t="s">
        <v>399</v>
      </c>
      <c r="C363" s="22" t="s">
        <v>58</v>
      </c>
      <c r="D363" s="3" t="s">
        <v>903</v>
      </c>
      <c r="E363" s="3" t="s">
        <v>100</v>
      </c>
      <c r="F363" s="3">
        <v>103</v>
      </c>
      <c r="G363" s="3" t="s">
        <v>101</v>
      </c>
      <c r="H363" s="5">
        <f>1381230-938700-160920</f>
        <v>281610</v>
      </c>
      <c r="I363" s="22" t="s">
        <v>681</v>
      </c>
      <c r="J363" s="5" t="s">
        <v>102</v>
      </c>
    </row>
    <row r="364" spans="1:10" ht="30">
      <c r="A364" s="27" t="s">
        <v>1359</v>
      </c>
      <c r="B364" s="3" t="s">
        <v>18</v>
      </c>
      <c r="C364" s="3" t="s">
        <v>58</v>
      </c>
      <c r="D364" s="3" t="s">
        <v>18</v>
      </c>
      <c r="E364" s="3" t="s">
        <v>100</v>
      </c>
      <c r="F364" s="3">
        <v>16</v>
      </c>
      <c r="G364" s="3" t="s">
        <v>101</v>
      </c>
      <c r="H364" s="5">
        <v>26080</v>
      </c>
      <c r="I364" s="22" t="s">
        <v>681</v>
      </c>
      <c r="J364" s="5" t="s">
        <v>102</v>
      </c>
    </row>
    <row r="365" spans="1:10" ht="30">
      <c r="A365" s="27" t="s">
        <v>1360</v>
      </c>
      <c r="B365" s="3" t="s">
        <v>428</v>
      </c>
      <c r="C365" s="3" t="s">
        <v>58</v>
      </c>
      <c r="D365" s="3" t="s">
        <v>428</v>
      </c>
      <c r="E365" s="3" t="s">
        <v>100</v>
      </c>
      <c r="F365" s="3">
        <v>30</v>
      </c>
      <c r="G365" s="3" t="s">
        <v>101</v>
      </c>
      <c r="H365" s="5">
        <v>67410</v>
      </c>
      <c r="I365" s="22" t="s">
        <v>681</v>
      </c>
      <c r="J365" s="5" t="s">
        <v>102</v>
      </c>
    </row>
    <row r="366" spans="1:10" ht="30">
      <c r="A366" s="27" t="s">
        <v>1361</v>
      </c>
      <c r="B366" s="3" t="s">
        <v>401</v>
      </c>
      <c r="C366" s="3" t="s">
        <v>58</v>
      </c>
      <c r="D366" s="3" t="s">
        <v>402</v>
      </c>
      <c r="E366" s="3" t="s">
        <v>100</v>
      </c>
      <c r="F366" s="3">
        <v>30</v>
      </c>
      <c r="G366" s="3" t="s">
        <v>101</v>
      </c>
      <c r="H366" s="5">
        <v>78000</v>
      </c>
      <c r="I366" s="22" t="s">
        <v>681</v>
      </c>
      <c r="J366" s="5" t="s">
        <v>102</v>
      </c>
    </row>
    <row r="367" spans="1:10" ht="30">
      <c r="A367" s="27" t="s">
        <v>1362</v>
      </c>
      <c r="B367" s="3" t="s">
        <v>919</v>
      </c>
      <c r="C367" s="3" t="s">
        <v>58</v>
      </c>
      <c r="D367" s="3" t="s">
        <v>920</v>
      </c>
      <c r="E367" s="3" t="s">
        <v>100</v>
      </c>
      <c r="F367" s="3">
        <v>3</v>
      </c>
      <c r="G367" s="3" t="s">
        <v>101</v>
      </c>
      <c r="H367" s="5">
        <v>36378</v>
      </c>
      <c r="I367" s="22" t="s">
        <v>681</v>
      </c>
      <c r="J367" s="5" t="s">
        <v>102</v>
      </c>
    </row>
    <row r="368" spans="1:10" ht="30">
      <c r="A368" s="27" t="s">
        <v>1363</v>
      </c>
      <c r="B368" s="3" t="s">
        <v>414</v>
      </c>
      <c r="C368" s="3" t="s">
        <v>58</v>
      </c>
      <c r="D368" s="3" t="s">
        <v>414</v>
      </c>
      <c r="E368" s="3" t="s">
        <v>100</v>
      </c>
      <c r="F368" s="3">
        <v>9</v>
      </c>
      <c r="G368" s="3" t="s">
        <v>101</v>
      </c>
      <c r="H368" s="5">
        <f>220500-60000</f>
        <v>160500</v>
      </c>
      <c r="I368" s="22" t="s">
        <v>681</v>
      </c>
      <c r="J368" s="5" t="s">
        <v>102</v>
      </c>
    </row>
    <row r="369" spans="1:10" ht="30">
      <c r="A369" s="27" t="s">
        <v>1364</v>
      </c>
      <c r="B369" s="3" t="s">
        <v>904</v>
      </c>
      <c r="C369" s="3" t="s">
        <v>58</v>
      </c>
      <c r="D369" s="3" t="s">
        <v>904</v>
      </c>
      <c r="E369" s="3" t="s">
        <v>100</v>
      </c>
      <c r="F369" s="3">
        <v>17</v>
      </c>
      <c r="G369" s="3" t="s">
        <v>101</v>
      </c>
      <c r="H369" s="5">
        <f>232560-119241</f>
        <v>113319</v>
      </c>
      <c r="I369" s="22" t="s">
        <v>681</v>
      </c>
      <c r="J369" s="5" t="s">
        <v>102</v>
      </c>
    </row>
    <row r="370" spans="1:10" ht="30">
      <c r="A370" s="27" t="s">
        <v>1365</v>
      </c>
      <c r="B370" s="3" t="s">
        <v>416</v>
      </c>
      <c r="C370" s="3" t="s">
        <v>58</v>
      </c>
      <c r="D370" s="3" t="s">
        <v>905</v>
      </c>
      <c r="E370" s="3" t="s">
        <v>100</v>
      </c>
      <c r="F370" s="3">
        <v>6</v>
      </c>
      <c r="G370" s="3" t="s">
        <v>101</v>
      </c>
      <c r="H370" s="5">
        <v>66960</v>
      </c>
      <c r="I370" s="22" t="s">
        <v>681</v>
      </c>
      <c r="J370" s="5" t="s">
        <v>102</v>
      </c>
    </row>
    <row r="371" spans="1:10" ht="30">
      <c r="A371" s="27" t="s">
        <v>1366</v>
      </c>
      <c r="B371" s="3" t="s">
        <v>393</v>
      </c>
      <c r="C371" s="3" t="s">
        <v>58</v>
      </c>
      <c r="D371" s="3" t="s">
        <v>23</v>
      </c>
      <c r="E371" s="3" t="s">
        <v>100</v>
      </c>
      <c r="F371" s="3">
        <v>26</v>
      </c>
      <c r="G371" s="3" t="s">
        <v>101</v>
      </c>
      <c r="H371" s="5">
        <v>56940</v>
      </c>
      <c r="I371" s="22" t="s">
        <v>681</v>
      </c>
      <c r="J371" s="5" t="s">
        <v>102</v>
      </c>
    </row>
    <row r="372" spans="1:10" ht="30">
      <c r="A372" s="27" t="s">
        <v>1367</v>
      </c>
      <c r="B372" s="3" t="s">
        <v>921</v>
      </c>
      <c r="C372" s="3" t="s">
        <v>58</v>
      </c>
      <c r="D372" s="3" t="s">
        <v>417</v>
      </c>
      <c r="E372" s="3" t="s">
        <v>100</v>
      </c>
      <c r="F372" s="3">
        <v>3</v>
      </c>
      <c r="G372" s="3" t="s">
        <v>101</v>
      </c>
      <c r="H372" s="5">
        <v>17400</v>
      </c>
      <c r="I372" s="22" t="s">
        <v>681</v>
      </c>
      <c r="J372" s="5" t="s">
        <v>102</v>
      </c>
    </row>
    <row r="373" spans="1:10" ht="30">
      <c r="A373" s="27" t="s">
        <v>1368</v>
      </c>
      <c r="B373" s="3" t="s">
        <v>922</v>
      </c>
      <c r="C373" s="3" t="s">
        <v>58</v>
      </c>
      <c r="D373" s="3" t="s">
        <v>24</v>
      </c>
      <c r="E373" s="3" t="s">
        <v>100</v>
      </c>
      <c r="F373" s="3">
        <v>74</v>
      </c>
      <c r="G373" s="3" t="s">
        <v>101</v>
      </c>
      <c r="H373" s="5">
        <v>62900</v>
      </c>
      <c r="I373" s="22" t="s">
        <v>681</v>
      </c>
      <c r="J373" s="5" t="s">
        <v>102</v>
      </c>
    </row>
    <row r="374" spans="1:10" ht="30">
      <c r="A374" s="27" t="s">
        <v>1369</v>
      </c>
      <c r="B374" s="3" t="s">
        <v>427</v>
      </c>
      <c r="C374" s="3" t="s">
        <v>58</v>
      </c>
      <c r="D374" s="3" t="s">
        <v>415</v>
      </c>
      <c r="E374" s="3" t="s">
        <v>100</v>
      </c>
      <c r="F374" s="3">
        <v>17</v>
      </c>
      <c r="G374" s="3" t="s">
        <v>101</v>
      </c>
      <c r="H374" s="5">
        <v>28764</v>
      </c>
      <c r="I374" s="22" t="s">
        <v>681</v>
      </c>
      <c r="J374" s="5" t="s">
        <v>102</v>
      </c>
    </row>
    <row r="375" spans="1:10" ht="30">
      <c r="A375" s="27" t="s">
        <v>1370</v>
      </c>
      <c r="B375" s="22" t="s">
        <v>427</v>
      </c>
      <c r="C375" s="3" t="s">
        <v>58</v>
      </c>
      <c r="D375" s="3" t="s">
        <v>26</v>
      </c>
      <c r="E375" s="3" t="s">
        <v>100</v>
      </c>
      <c r="F375" s="3">
        <v>10</v>
      </c>
      <c r="G375" s="3" t="s">
        <v>101</v>
      </c>
      <c r="H375" s="5">
        <v>19470</v>
      </c>
      <c r="I375" s="22" t="s">
        <v>681</v>
      </c>
      <c r="J375" s="5" t="s">
        <v>102</v>
      </c>
    </row>
    <row r="376" spans="1:10" ht="30">
      <c r="A376" s="27" t="s">
        <v>1371</v>
      </c>
      <c r="B376" s="22" t="s">
        <v>427</v>
      </c>
      <c r="C376" s="3" t="s">
        <v>58</v>
      </c>
      <c r="D376" s="3" t="s">
        <v>27</v>
      </c>
      <c r="E376" s="3" t="s">
        <v>100</v>
      </c>
      <c r="F376" s="3">
        <v>29</v>
      </c>
      <c r="G376" s="3" t="s">
        <v>101</v>
      </c>
      <c r="H376" s="5">
        <f>83578-10714.28</f>
        <v>72863.72</v>
      </c>
      <c r="I376" s="22" t="s">
        <v>681</v>
      </c>
      <c r="J376" s="5" t="s">
        <v>102</v>
      </c>
    </row>
    <row r="377" spans="1:10" ht="30">
      <c r="A377" s="27" t="s">
        <v>1372</v>
      </c>
      <c r="B377" s="22" t="s">
        <v>427</v>
      </c>
      <c r="C377" s="3" t="s">
        <v>58</v>
      </c>
      <c r="D377" s="3" t="s">
        <v>906</v>
      </c>
      <c r="E377" s="3" t="s">
        <v>100</v>
      </c>
      <c r="F377" s="3">
        <v>8</v>
      </c>
      <c r="G377" s="3" t="s">
        <v>101</v>
      </c>
      <c r="H377" s="5">
        <v>15200</v>
      </c>
      <c r="I377" s="22" t="s">
        <v>681</v>
      </c>
      <c r="J377" s="5" t="s">
        <v>102</v>
      </c>
    </row>
    <row r="378" spans="1:10" ht="30">
      <c r="A378" s="27" t="s">
        <v>1373</v>
      </c>
      <c r="B378" s="22" t="s">
        <v>427</v>
      </c>
      <c r="C378" s="3" t="s">
        <v>58</v>
      </c>
      <c r="D378" s="3" t="s">
        <v>923</v>
      </c>
      <c r="E378" s="3" t="s">
        <v>100</v>
      </c>
      <c r="F378" s="3">
        <v>23</v>
      </c>
      <c r="G378" s="3" t="s">
        <v>101</v>
      </c>
      <c r="H378" s="5">
        <v>97750</v>
      </c>
      <c r="I378" s="22" t="s">
        <v>681</v>
      </c>
      <c r="J378" s="5" t="s">
        <v>102</v>
      </c>
    </row>
    <row r="379" spans="1:10" ht="30">
      <c r="A379" s="27" t="s">
        <v>1374</v>
      </c>
      <c r="B379" s="3" t="s">
        <v>924</v>
      </c>
      <c r="C379" s="3" t="s">
        <v>58</v>
      </c>
      <c r="D379" s="3" t="s">
        <v>31</v>
      </c>
      <c r="E379" s="3" t="s">
        <v>100</v>
      </c>
      <c r="F379" s="3">
        <v>5</v>
      </c>
      <c r="G379" s="3" t="s">
        <v>101</v>
      </c>
      <c r="H379" s="5">
        <v>5000</v>
      </c>
      <c r="I379" s="22" t="s">
        <v>681</v>
      </c>
      <c r="J379" s="5" t="s">
        <v>102</v>
      </c>
    </row>
    <row r="380" spans="1:10" ht="30">
      <c r="A380" s="27" t="s">
        <v>1375</v>
      </c>
      <c r="B380" s="3" t="s">
        <v>924</v>
      </c>
      <c r="C380" s="3" t="s">
        <v>58</v>
      </c>
      <c r="D380" s="3" t="s">
        <v>32</v>
      </c>
      <c r="E380" s="3" t="s">
        <v>100</v>
      </c>
      <c r="F380" s="3">
        <v>5</v>
      </c>
      <c r="G380" s="3" t="s">
        <v>101</v>
      </c>
      <c r="H380" s="5">
        <v>10000</v>
      </c>
      <c r="I380" s="22" t="s">
        <v>681</v>
      </c>
      <c r="J380" s="5" t="s">
        <v>102</v>
      </c>
    </row>
    <row r="381" spans="1:10" ht="30">
      <c r="A381" s="27" t="s">
        <v>1376</v>
      </c>
      <c r="B381" s="3" t="s">
        <v>418</v>
      </c>
      <c r="C381" s="3" t="s">
        <v>58</v>
      </c>
      <c r="D381" s="3" t="s">
        <v>28</v>
      </c>
      <c r="E381" s="3" t="s">
        <v>100</v>
      </c>
      <c r="F381" s="3">
        <v>19</v>
      </c>
      <c r="G381" s="3" t="s">
        <v>101</v>
      </c>
      <c r="H381" s="5">
        <v>51300</v>
      </c>
      <c r="I381" s="22" t="s">
        <v>681</v>
      </c>
      <c r="J381" s="5" t="s">
        <v>102</v>
      </c>
    </row>
    <row r="382" spans="1:10" ht="30">
      <c r="A382" s="27" t="s">
        <v>1377</v>
      </c>
      <c r="B382" s="3" t="s">
        <v>29</v>
      </c>
      <c r="C382" s="3" t="s">
        <v>58</v>
      </c>
      <c r="D382" s="3" t="s">
        <v>83</v>
      </c>
      <c r="E382" s="3" t="s">
        <v>100</v>
      </c>
      <c r="F382" s="3">
        <v>13</v>
      </c>
      <c r="G382" s="3" t="s">
        <v>101</v>
      </c>
      <c r="H382" s="5">
        <f>286000-53571.43</f>
        <v>232428.57</v>
      </c>
      <c r="I382" s="22" t="s">
        <v>681</v>
      </c>
      <c r="J382" s="5" t="s">
        <v>102</v>
      </c>
    </row>
    <row r="383" spans="1:10" ht="30">
      <c r="A383" s="27" t="s">
        <v>1378</v>
      </c>
      <c r="B383" s="3" t="s">
        <v>427</v>
      </c>
      <c r="C383" s="3" t="s">
        <v>58</v>
      </c>
      <c r="D383" s="3" t="s">
        <v>30</v>
      </c>
      <c r="E383" s="3" t="s">
        <v>100</v>
      </c>
      <c r="F383" s="3">
        <v>16</v>
      </c>
      <c r="G383" s="3" t="s">
        <v>101</v>
      </c>
      <c r="H383" s="5">
        <v>208000</v>
      </c>
      <c r="I383" s="22" t="s">
        <v>681</v>
      </c>
      <c r="J383" s="5" t="s">
        <v>102</v>
      </c>
    </row>
    <row r="384" spans="1:10" ht="30">
      <c r="A384" s="27" t="s">
        <v>1379</v>
      </c>
      <c r="B384" s="3" t="s">
        <v>383</v>
      </c>
      <c r="C384" s="3" t="s">
        <v>58</v>
      </c>
      <c r="D384" s="3" t="s">
        <v>907</v>
      </c>
      <c r="E384" s="3" t="s">
        <v>100</v>
      </c>
      <c r="F384" s="3">
        <v>10</v>
      </c>
      <c r="G384" s="3" t="s">
        <v>101</v>
      </c>
      <c r="H384" s="5">
        <f>139017.81-69509</f>
        <v>69508.81</v>
      </c>
      <c r="I384" s="22" t="s">
        <v>681</v>
      </c>
      <c r="J384" s="5" t="s">
        <v>102</v>
      </c>
    </row>
    <row r="385" spans="1:10" ht="30">
      <c r="A385" s="27" t="s">
        <v>1380</v>
      </c>
      <c r="B385" s="3" t="s">
        <v>867</v>
      </c>
      <c r="C385" s="3" t="s">
        <v>58</v>
      </c>
      <c r="D385" s="3" t="s">
        <v>867</v>
      </c>
      <c r="E385" s="3" t="s">
        <v>100</v>
      </c>
      <c r="F385" s="3">
        <v>5</v>
      </c>
      <c r="G385" s="3" t="s">
        <v>101</v>
      </c>
      <c r="H385" s="5">
        <v>22500</v>
      </c>
      <c r="I385" s="22" t="s">
        <v>681</v>
      </c>
      <c r="J385" s="5" t="s">
        <v>102</v>
      </c>
    </row>
    <row r="386" spans="1:10" ht="30">
      <c r="A386" s="27" t="s">
        <v>1381</v>
      </c>
      <c r="B386" s="3" t="s">
        <v>389</v>
      </c>
      <c r="C386" s="3" t="s">
        <v>58</v>
      </c>
      <c r="D386" s="3" t="s">
        <v>931</v>
      </c>
      <c r="E386" s="3" t="s">
        <v>100</v>
      </c>
      <c r="F386" s="3">
        <v>10</v>
      </c>
      <c r="G386" s="3" t="s">
        <v>101</v>
      </c>
      <c r="H386" s="5">
        <v>580.36</v>
      </c>
      <c r="I386" s="22" t="s">
        <v>681</v>
      </c>
      <c r="J386" s="5" t="s">
        <v>102</v>
      </c>
    </row>
    <row r="387" spans="1:10" ht="45">
      <c r="A387" s="27" t="s">
        <v>1382</v>
      </c>
      <c r="B387" s="3" t="s">
        <v>956</v>
      </c>
      <c r="C387" s="3" t="s">
        <v>58</v>
      </c>
      <c r="D387" s="3" t="s">
        <v>932</v>
      </c>
      <c r="E387" s="3" t="s">
        <v>100</v>
      </c>
      <c r="F387" s="3">
        <v>10</v>
      </c>
      <c r="G387" s="3" t="s">
        <v>101</v>
      </c>
      <c r="H387" s="5">
        <v>2232.1428571428569</v>
      </c>
      <c r="I387" s="22" t="s">
        <v>681</v>
      </c>
      <c r="J387" s="5" t="s">
        <v>102</v>
      </c>
    </row>
    <row r="388" spans="1:10" ht="30">
      <c r="A388" s="27" t="s">
        <v>1383</v>
      </c>
      <c r="B388" s="3" t="s">
        <v>389</v>
      </c>
      <c r="C388" s="3" t="s">
        <v>58</v>
      </c>
      <c r="D388" s="3" t="s">
        <v>933</v>
      </c>
      <c r="E388" s="3" t="s">
        <v>100</v>
      </c>
      <c r="F388" s="3">
        <v>10</v>
      </c>
      <c r="G388" s="3" t="s">
        <v>101</v>
      </c>
      <c r="H388" s="5">
        <v>15446.428571428569</v>
      </c>
      <c r="I388" s="22" t="s">
        <v>681</v>
      </c>
      <c r="J388" s="5" t="s">
        <v>102</v>
      </c>
    </row>
    <row r="389" spans="1:10" ht="30">
      <c r="A389" s="27" t="s">
        <v>1384</v>
      </c>
      <c r="B389" s="3" t="s">
        <v>611</v>
      </c>
      <c r="C389" s="3" t="s">
        <v>58</v>
      </c>
      <c r="D389" s="3" t="s">
        <v>957</v>
      </c>
      <c r="E389" s="3" t="s">
        <v>100</v>
      </c>
      <c r="F389" s="3">
        <v>10</v>
      </c>
      <c r="G389" s="3" t="s">
        <v>101</v>
      </c>
      <c r="H389" s="5">
        <v>34821.428571428565</v>
      </c>
      <c r="I389" s="22" t="s">
        <v>681</v>
      </c>
      <c r="J389" s="5" t="s">
        <v>102</v>
      </c>
    </row>
    <row r="390" spans="1:10" ht="60">
      <c r="A390" s="27" t="s">
        <v>1385</v>
      </c>
      <c r="B390" s="3" t="s">
        <v>958</v>
      </c>
      <c r="C390" s="3" t="s">
        <v>58</v>
      </c>
      <c r="D390" s="3" t="s">
        <v>934</v>
      </c>
      <c r="E390" s="3" t="s">
        <v>100</v>
      </c>
      <c r="F390" s="3">
        <v>10</v>
      </c>
      <c r="G390" s="3" t="s">
        <v>101</v>
      </c>
      <c r="H390" s="5">
        <v>8928.5714285714275</v>
      </c>
      <c r="I390" s="22" t="s">
        <v>681</v>
      </c>
      <c r="J390" s="5" t="s">
        <v>102</v>
      </c>
    </row>
    <row r="391" spans="1:10" ht="30">
      <c r="A391" s="27" t="s">
        <v>1386</v>
      </c>
      <c r="B391" s="3" t="s">
        <v>959</v>
      </c>
      <c r="C391" s="3" t="s">
        <v>58</v>
      </c>
      <c r="D391" s="3" t="s">
        <v>935</v>
      </c>
      <c r="E391" s="3" t="s">
        <v>100</v>
      </c>
      <c r="F391" s="3">
        <v>10</v>
      </c>
      <c r="G391" s="3" t="s">
        <v>101</v>
      </c>
      <c r="H391" s="5">
        <v>77678.57142857142</v>
      </c>
      <c r="I391" s="22" t="s">
        <v>681</v>
      </c>
      <c r="J391" s="5" t="s">
        <v>102</v>
      </c>
    </row>
    <row r="392" spans="1:10" ht="30">
      <c r="A392" s="27" t="s">
        <v>1387</v>
      </c>
      <c r="B392" s="3" t="s">
        <v>925</v>
      </c>
      <c r="C392" s="3" t="s">
        <v>58</v>
      </c>
      <c r="D392" s="3" t="s">
        <v>936</v>
      </c>
      <c r="E392" s="3" t="s">
        <v>100</v>
      </c>
      <c r="F392" s="3">
        <v>10</v>
      </c>
      <c r="G392" s="3" t="s">
        <v>101</v>
      </c>
      <c r="H392" s="5">
        <v>196428.57142857142</v>
      </c>
      <c r="I392" s="22" t="s">
        <v>681</v>
      </c>
      <c r="J392" s="5" t="s">
        <v>102</v>
      </c>
    </row>
    <row r="393" spans="1:10" ht="30">
      <c r="A393" s="27" t="s">
        <v>1388</v>
      </c>
      <c r="B393" s="3" t="s">
        <v>926</v>
      </c>
      <c r="C393" s="3" t="s">
        <v>58</v>
      </c>
      <c r="D393" s="3" t="s">
        <v>937</v>
      </c>
      <c r="E393" s="3" t="s">
        <v>100</v>
      </c>
      <c r="F393" s="3">
        <v>10</v>
      </c>
      <c r="G393" s="3" t="s">
        <v>101</v>
      </c>
      <c r="H393" s="5">
        <v>156249.99999999997</v>
      </c>
      <c r="I393" s="22" t="s">
        <v>681</v>
      </c>
      <c r="J393" s="5" t="s">
        <v>102</v>
      </c>
    </row>
    <row r="394" spans="1:10" ht="30">
      <c r="A394" s="27" t="s">
        <v>1389</v>
      </c>
      <c r="B394" s="3" t="s">
        <v>960</v>
      </c>
      <c r="C394" s="3" t="s">
        <v>58</v>
      </c>
      <c r="D394" s="3" t="s">
        <v>938</v>
      </c>
      <c r="E394" s="3" t="s">
        <v>100</v>
      </c>
      <c r="F394" s="3">
        <v>10</v>
      </c>
      <c r="G394" s="3" t="s">
        <v>101</v>
      </c>
      <c r="H394" s="5">
        <v>160714.28571428571</v>
      </c>
      <c r="I394" s="22" t="s">
        <v>681</v>
      </c>
      <c r="J394" s="5" t="s">
        <v>102</v>
      </c>
    </row>
    <row r="395" spans="1:10" ht="45">
      <c r="A395" s="27" t="s">
        <v>1390</v>
      </c>
      <c r="B395" s="3" t="s">
        <v>961</v>
      </c>
      <c r="C395" s="3" t="s">
        <v>58</v>
      </c>
      <c r="D395" s="3" t="s">
        <v>939</v>
      </c>
      <c r="E395" s="3" t="s">
        <v>100</v>
      </c>
      <c r="F395" s="3">
        <v>1</v>
      </c>
      <c r="G395" s="3" t="s">
        <v>101</v>
      </c>
      <c r="H395" s="5">
        <v>169642.85714285713</v>
      </c>
      <c r="I395" s="22" t="s">
        <v>681</v>
      </c>
      <c r="J395" s="5" t="s">
        <v>102</v>
      </c>
    </row>
    <row r="396" spans="1:10" ht="45">
      <c r="A396" s="27" t="s">
        <v>1391</v>
      </c>
      <c r="B396" s="3" t="s">
        <v>82</v>
      </c>
      <c r="C396" s="3" t="s">
        <v>58</v>
      </c>
      <c r="D396" s="3" t="s">
        <v>940</v>
      </c>
      <c r="E396" s="3" t="s">
        <v>100</v>
      </c>
      <c r="F396" s="3">
        <v>10</v>
      </c>
      <c r="G396" s="3" t="s">
        <v>101</v>
      </c>
      <c r="H396" s="5">
        <v>417544.64285714284</v>
      </c>
      <c r="I396" s="22" t="s">
        <v>681</v>
      </c>
      <c r="J396" s="5" t="s">
        <v>102</v>
      </c>
    </row>
    <row r="397" spans="1:10" ht="30">
      <c r="A397" s="27" t="s">
        <v>1392</v>
      </c>
      <c r="B397" s="3" t="s">
        <v>600</v>
      </c>
      <c r="C397" s="3" t="s">
        <v>58</v>
      </c>
      <c r="D397" s="3" t="s">
        <v>941</v>
      </c>
      <c r="E397" s="3" t="s">
        <v>100</v>
      </c>
      <c r="F397" s="3">
        <v>10</v>
      </c>
      <c r="G397" s="3" t="s">
        <v>101</v>
      </c>
      <c r="H397" s="5">
        <v>312499.99999999994</v>
      </c>
      <c r="I397" s="22" t="s">
        <v>681</v>
      </c>
      <c r="J397" s="5" t="s">
        <v>102</v>
      </c>
    </row>
    <row r="398" spans="1:10" ht="30">
      <c r="A398" s="27" t="s">
        <v>1393</v>
      </c>
      <c r="B398" s="3" t="s">
        <v>927</v>
      </c>
      <c r="C398" s="3" t="s">
        <v>58</v>
      </c>
      <c r="D398" s="3" t="s">
        <v>942</v>
      </c>
      <c r="E398" s="3" t="s">
        <v>100</v>
      </c>
      <c r="F398" s="3">
        <v>10</v>
      </c>
      <c r="G398" s="3" t="s">
        <v>101</v>
      </c>
      <c r="H398" s="5">
        <v>505669.64285714284</v>
      </c>
      <c r="I398" s="22" t="s">
        <v>681</v>
      </c>
      <c r="J398" s="5" t="s">
        <v>102</v>
      </c>
    </row>
    <row r="399" spans="1:10" ht="30">
      <c r="A399" s="27" t="s">
        <v>1394</v>
      </c>
      <c r="B399" s="3" t="s">
        <v>601</v>
      </c>
      <c r="C399" s="3" t="s">
        <v>58</v>
      </c>
      <c r="D399" s="3" t="s">
        <v>943</v>
      </c>
      <c r="E399" s="3" t="s">
        <v>100</v>
      </c>
      <c r="F399" s="3">
        <v>10</v>
      </c>
      <c r="G399" s="3" t="s">
        <v>101</v>
      </c>
      <c r="H399" s="5">
        <v>196205.35714285713</v>
      </c>
      <c r="I399" s="22" t="s">
        <v>681</v>
      </c>
      <c r="J399" s="5" t="s">
        <v>102</v>
      </c>
    </row>
    <row r="400" spans="1:10" ht="30">
      <c r="A400" s="27" t="s">
        <v>1395</v>
      </c>
      <c r="B400" s="3" t="s">
        <v>962</v>
      </c>
      <c r="C400" s="22" t="s">
        <v>58</v>
      </c>
      <c r="D400" s="3" t="s">
        <v>944</v>
      </c>
      <c r="E400" s="3" t="s">
        <v>100</v>
      </c>
      <c r="F400" s="3">
        <v>10</v>
      </c>
      <c r="G400" s="3" t="s">
        <v>101</v>
      </c>
      <c r="H400" s="5">
        <v>16428.571428571428</v>
      </c>
      <c r="I400" s="22" t="s">
        <v>681</v>
      </c>
      <c r="J400" s="5" t="s">
        <v>102</v>
      </c>
    </row>
    <row r="401" spans="1:10" ht="30">
      <c r="A401" s="27" t="s">
        <v>1396</v>
      </c>
      <c r="B401" s="3" t="s">
        <v>928</v>
      </c>
      <c r="C401" s="3" t="s">
        <v>58</v>
      </c>
      <c r="D401" s="3" t="s">
        <v>945</v>
      </c>
      <c r="E401" s="3" t="s">
        <v>100</v>
      </c>
      <c r="F401" s="3">
        <v>10</v>
      </c>
      <c r="G401" s="3" t="s">
        <v>101</v>
      </c>
      <c r="H401" s="5">
        <v>17857.142857142855</v>
      </c>
      <c r="I401" s="22" t="s">
        <v>681</v>
      </c>
      <c r="J401" s="5" t="s">
        <v>102</v>
      </c>
    </row>
    <row r="402" spans="1:10" ht="30">
      <c r="A402" s="27" t="s">
        <v>1397</v>
      </c>
      <c r="B402" s="3" t="s">
        <v>963</v>
      </c>
      <c r="C402" s="3" t="s">
        <v>58</v>
      </c>
      <c r="D402" s="3" t="s">
        <v>946</v>
      </c>
      <c r="E402" s="3" t="s">
        <v>100</v>
      </c>
      <c r="F402" s="3">
        <v>10</v>
      </c>
      <c r="G402" s="3" t="s">
        <v>101</v>
      </c>
      <c r="H402" s="5">
        <v>26785.714285714283</v>
      </c>
      <c r="I402" s="22" t="s">
        <v>681</v>
      </c>
      <c r="J402" s="5" t="s">
        <v>102</v>
      </c>
    </row>
    <row r="403" spans="1:10" ht="30">
      <c r="A403" s="27" t="s">
        <v>1398</v>
      </c>
      <c r="B403" s="3" t="s">
        <v>964</v>
      </c>
      <c r="C403" s="3" t="s">
        <v>58</v>
      </c>
      <c r="D403" s="3" t="s">
        <v>947</v>
      </c>
      <c r="E403" s="3" t="s">
        <v>100</v>
      </c>
      <c r="F403" s="3">
        <v>10</v>
      </c>
      <c r="G403" s="3" t="s">
        <v>101</v>
      </c>
      <c r="H403" s="5">
        <v>133928.57142857142</v>
      </c>
      <c r="I403" s="22" t="s">
        <v>681</v>
      </c>
      <c r="J403" s="5" t="s">
        <v>102</v>
      </c>
    </row>
    <row r="404" spans="1:10" ht="30">
      <c r="A404" s="27" t="s">
        <v>1399</v>
      </c>
      <c r="B404" s="3" t="s">
        <v>928</v>
      </c>
      <c r="C404" s="3" t="s">
        <v>58</v>
      </c>
      <c r="D404" s="3" t="s">
        <v>948</v>
      </c>
      <c r="E404" s="3" t="s">
        <v>100</v>
      </c>
      <c r="F404" s="3">
        <v>10</v>
      </c>
      <c r="G404" s="3" t="s">
        <v>101</v>
      </c>
      <c r="H404" s="5">
        <v>49107.142857142855</v>
      </c>
      <c r="I404" s="22" t="s">
        <v>681</v>
      </c>
      <c r="J404" s="5" t="s">
        <v>102</v>
      </c>
    </row>
    <row r="405" spans="1:10" ht="45">
      <c r="A405" s="27" t="s">
        <v>1400</v>
      </c>
      <c r="B405" s="3" t="s">
        <v>1935</v>
      </c>
      <c r="C405" s="3" t="s">
        <v>58</v>
      </c>
      <c r="D405" s="3" t="s">
        <v>949</v>
      </c>
      <c r="E405" s="3" t="s">
        <v>100</v>
      </c>
      <c r="F405" s="3">
        <v>10</v>
      </c>
      <c r="G405" s="3" t="s">
        <v>101</v>
      </c>
      <c r="H405" s="5">
        <v>17321.428571428569</v>
      </c>
      <c r="I405" s="22" t="s">
        <v>681</v>
      </c>
      <c r="J405" s="5" t="s">
        <v>102</v>
      </c>
    </row>
    <row r="406" spans="1:10" ht="30">
      <c r="A406" s="27" t="s">
        <v>1401</v>
      </c>
      <c r="B406" s="3" t="s">
        <v>929</v>
      </c>
      <c r="C406" s="3" t="s">
        <v>58</v>
      </c>
      <c r="D406" s="3" t="s">
        <v>950</v>
      </c>
      <c r="E406" s="3" t="s">
        <v>100</v>
      </c>
      <c r="F406" s="3">
        <v>10</v>
      </c>
      <c r="G406" s="3" t="s">
        <v>101</v>
      </c>
      <c r="H406" s="5">
        <v>75928.57142857142</v>
      </c>
      <c r="I406" s="22" t="s">
        <v>681</v>
      </c>
      <c r="J406" s="5" t="s">
        <v>102</v>
      </c>
    </row>
    <row r="407" spans="1:10" ht="30">
      <c r="A407" s="27" t="s">
        <v>1402</v>
      </c>
      <c r="B407" s="3" t="s">
        <v>930</v>
      </c>
      <c r="C407" s="3" t="s">
        <v>58</v>
      </c>
      <c r="D407" s="3" t="s">
        <v>951</v>
      </c>
      <c r="E407" s="3" t="s">
        <v>100</v>
      </c>
      <c r="F407" s="3">
        <v>10</v>
      </c>
      <c r="G407" s="3" t="s">
        <v>101</v>
      </c>
      <c r="H407" s="5">
        <v>7857.1428571428569</v>
      </c>
      <c r="I407" s="22" t="s">
        <v>681</v>
      </c>
      <c r="J407" s="5" t="s">
        <v>102</v>
      </c>
    </row>
    <row r="408" spans="1:10" ht="30">
      <c r="A408" s="27" t="s">
        <v>1403</v>
      </c>
      <c r="B408" s="22" t="s">
        <v>965</v>
      </c>
      <c r="C408" s="3" t="s">
        <v>58</v>
      </c>
      <c r="D408" s="3" t="s">
        <v>952</v>
      </c>
      <c r="E408" s="3" t="s">
        <v>100</v>
      </c>
      <c r="F408" s="3">
        <v>10</v>
      </c>
      <c r="G408" s="3" t="s">
        <v>101</v>
      </c>
      <c r="H408" s="5">
        <v>4910.7142857142853</v>
      </c>
      <c r="I408" s="22" t="s">
        <v>681</v>
      </c>
      <c r="J408" s="5" t="s">
        <v>102</v>
      </c>
    </row>
    <row r="409" spans="1:10" ht="30">
      <c r="A409" s="27" t="s">
        <v>1404</v>
      </c>
      <c r="B409" s="3" t="s">
        <v>435</v>
      </c>
      <c r="C409" s="3" t="s">
        <v>58</v>
      </c>
      <c r="D409" s="3" t="s">
        <v>953</v>
      </c>
      <c r="E409" s="3" t="s">
        <v>100</v>
      </c>
      <c r="F409" s="3">
        <v>10</v>
      </c>
      <c r="G409" s="3" t="s">
        <v>101</v>
      </c>
      <c r="H409" s="5">
        <v>14999.999999999998</v>
      </c>
      <c r="I409" s="22" t="s">
        <v>681</v>
      </c>
      <c r="J409" s="5" t="s">
        <v>102</v>
      </c>
    </row>
    <row r="410" spans="1:10" ht="45">
      <c r="A410" s="27" t="s">
        <v>1405</v>
      </c>
      <c r="B410" s="3" t="s">
        <v>598</v>
      </c>
      <c r="C410" s="3" t="s">
        <v>58</v>
      </c>
      <c r="D410" s="3" t="s">
        <v>954</v>
      </c>
      <c r="E410" s="3" t="s">
        <v>100</v>
      </c>
      <c r="F410" s="3">
        <v>10</v>
      </c>
      <c r="G410" s="3" t="s">
        <v>101</v>
      </c>
      <c r="H410" s="5">
        <v>31473.214285714283</v>
      </c>
      <c r="I410" s="22" t="s">
        <v>681</v>
      </c>
      <c r="J410" s="5" t="s">
        <v>102</v>
      </c>
    </row>
    <row r="411" spans="1:10" ht="30">
      <c r="A411" s="27" t="s">
        <v>1406</v>
      </c>
      <c r="B411" s="3" t="s">
        <v>966</v>
      </c>
      <c r="C411" s="3" t="s">
        <v>58</v>
      </c>
      <c r="D411" s="3" t="s">
        <v>955</v>
      </c>
      <c r="E411" s="3" t="s">
        <v>100</v>
      </c>
      <c r="F411" s="3">
        <v>10</v>
      </c>
      <c r="G411" s="3" t="s">
        <v>101</v>
      </c>
      <c r="H411" s="5">
        <v>203749.99999999997</v>
      </c>
      <c r="I411" s="22" t="s">
        <v>681</v>
      </c>
      <c r="J411" s="5" t="s">
        <v>102</v>
      </c>
    </row>
    <row r="412" spans="1:10" ht="30">
      <c r="A412" s="27" t="s">
        <v>1407</v>
      </c>
      <c r="B412" s="3" t="s">
        <v>425</v>
      </c>
      <c r="C412" s="3" t="s">
        <v>58</v>
      </c>
      <c r="D412" s="22" t="s">
        <v>62</v>
      </c>
      <c r="E412" s="3" t="s">
        <v>100</v>
      </c>
      <c r="F412" s="3">
        <v>7</v>
      </c>
      <c r="G412" s="3" t="s">
        <v>101</v>
      </c>
      <c r="H412" s="5">
        <f>451968.72-451968.72</f>
        <v>0</v>
      </c>
      <c r="I412" s="22" t="s">
        <v>681</v>
      </c>
      <c r="J412" s="5" t="s">
        <v>102</v>
      </c>
    </row>
    <row r="413" spans="1:10" ht="30">
      <c r="A413" s="27" t="s">
        <v>1408</v>
      </c>
      <c r="B413" s="3" t="s">
        <v>1001</v>
      </c>
      <c r="C413" s="22" t="s">
        <v>59</v>
      </c>
      <c r="D413" s="22" t="s">
        <v>63</v>
      </c>
      <c r="E413" s="3" t="s">
        <v>100</v>
      </c>
      <c r="F413" s="3">
        <v>5</v>
      </c>
      <c r="G413" s="3" t="s">
        <v>101</v>
      </c>
      <c r="H413" s="5">
        <v>116884</v>
      </c>
      <c r="I413" s="22" t="s">
        <v>681</v>
      </c>
      <c r="J413" s="5" t="s">
        <v>102</v>
      </c>
    </row>
    <row r="414" spans="1:10" ht="30">
      <c r="A414" s="27" t="s">
        <v>1409</v>
      </c>
      <c r="B414" s="3" t="s">
        <v>421</v>
      </c>
      <c r="C414" s="22" t="s">
        <v>59</v>
      </c>
      <c r="D414" s="22" t="s">
        <v>64</v>
      </c>
      <c r="E414" s="3" t="s">
        <v>100</v>
      </c>
      <c r="F414" s="3">
        <v>2</v>
      </c>
      <c r="G414" s="3" t="s">
        <v>101</v>
      </c>
      <c r="H414" s="5">
        <v>160270</v>
      </c>
      <c r="I414" s="22" t="s">
        <v>681</v>
      </c>
      <c r="J414" s="5" t="s">
        <v>102</v>
      </c>
    </row>
    <row r="415" spans="1:10" ht="30">
      <c r="A415" s="27" t="s">
        <v>1410</v>
      </c>
      <c r="B415" s="3" t="s">
        <v>423</v>
      </c>
      <c r="C415" s="22" t="s">
        <v>59</v>
      </c>
      <c r="D415" s="22" t="s">
        <v>65</v>
      </c>
      <c r="E415" s="3" t="s">
        <v>100</v>
      </c>
      <c r="F415" s="3">
        <v>1</v>
      </c>
      <c r="G415" s="3" t="s">
        <v>101</v>
      </c>
      <c r="H415" s="5">
        <v>13036</v>
      </c>
      <c r="I415" s="22" t="s">
        <v>681</v>
      </c>
      <c r="J415" s="5" t="s">
        <v>102</v>
      </c>
    </row>
    <row r="416" spans="1:10" ht="45">
      <c r="A416" s="27" t="s">
        <v>1411</v>
      </c>
      <c r="B416" s="22" t="s">
        <v>423</v>
      </c>
      <c r="C416" s="22" t="s">
        <v>59</v>
      </c>
      <c r="D416" s="22" t="s">
        <v>967</v>
      </c>
      <c r="E416" s="3" t="s">
        <v>100</v>
      </c>
      <c r="F416" s="3">
        <v>1</v>
      </c>
      <c r="G416" s="3" t="s">
        <v>101</v>
      </c>
      <c r="H416" s="5">
        <v>7951</v>
      </c>
      <c r="I416" s="22" t="s">
        <v>681</v>
      </c>
      <c r="J416" s="5" t="s">
        <v>102</v>
      </c>
    </row>
    <row r="417" spans="1:10" ht="30">
      <c r="A417" s="27" t="s">
        <v>1412</v>
      </c>
      <c r="B417" s="3" t="s">
        <v>1002</v>
      </c>
      <c r="C417" s="3" t="s">
        <v>58</v>
      </c>
      <c r="D417" s="22" t="s">
        <v>66</v>
      </c>
      <c r="E417" s="3" t="s">
        <v>100</v>
      </c>
      <c r="F417" s="3">
        <v>1</v>
      </c>
      <c r="G417" s="3" t="s">
        <v>101</v>
      </c>
      <c r="H417" s="5">
        <v>0</v>
      </c>
      <c r="I417" s="22" t="s">
        <v>681</v>
      </c>
      <c r="J417" s="5" t="s">
        <v>102</v>
      </c>
    </row>
    <row r="418" spans="1:10" ht="30">
      <c r="A418" s="27" t="s">
        <v>1413</v>
      </c>
      <c r="B418" s="3" t="s">
        <v>1003</v>
      </c>
      <c r="C418" s="3" t="s">
        <v>59</v>
      </c>
      <c r="D418" s="22" t="s">
        <v>67</v>
      </c>
      <c r="E418" s="3" t="s">
        <v>100</v>
      </c>
      <c r="F418" s="3">
        <v>4</v>
      </c>
      <c r="G418" s="3" t="s">
        <v>101</v>
      </c>
      <c r="H418" s="5">
        <v>334532</v>
      </c>
      <c r="I418" s="22" t="s">
        <v>681</v>
      </c>
      <c r="J418" s="5" t="s">
        <v>102</v>
      </c>
    </row>
    <row r="419" spans="1:10" ht="30">
      <c r="A419" s="27" t="s">
        <v>1414</v>
      </c>
      <c r="B419" s="22" t="s">
        <v>1003</v>
      </c>
      <c r="C419" s="22" t="s">
        <v>59</v>
      </c>
      <c r="D419" s="22" t="s">
        <v>68</v>
      </c>
      <c r="E419" s="3" t="s">
        <v>100</v>
      </c>
      <c r="F419" s="3">
        <v>5</v>
      </c>
      <c r="G419" s="3" t="s">
        <v>101</v>
      </c>
      <c r="H419" s="5">
        <v>826643</v>
      </c>
      <c r="I419" s="22" t="s">
        <v>681</v>
      </c>
      <c r="J419" s="5" t="s">
        <v>102</v>
      </c>
    </row>
    <row r="420" spans="1:10" ht="30">
      <c r="A420" s="27" t="s">
        <v>1415</v>
      </c>
      <c r="B420" s="22" t="s">
        <v>1003</v>
      </c>
      <c r="C420" s="22" t="s">
        <v>59</v>
      </c>
      <c r="D420" s="22" t="s">
        <v>69</v>
      </c>
      <c r="E420" s="3" t="s">
        <v>100</v>
      </c>
      <c r="F420" s="3">
        <v>5</v>
      </c>
      <c r="G420" s="3" t="s">
        <v>101</v>
      </c>
      <c r="H420" s="5">
        <v>826643</v>
      </c>
      <c r="I420" s="22" t="s">
        <v>681</v>
      </c>
      <c r="J420" s="5" t="s">
        <v>102</v>
      </c>
    </row>
    <row r="421" spans="1:10" ht="30">
      <c r="A421" s="27" t="s">
        <v>1416</v>
      </c>
      <c r="B421" s="22" t="s">
        <v>1003</v>
      </c>
      <c r="C421" s="22" t="s">
        <v>59</v>
      </c>
      <c r="D421" s="22" t="s">
        <v>70</v>
      </c>
      <c r="E421" s="3" t="s">
        <v>100</v>
      </c>
      <c r="F421" s="3">
        <v>5</v>
      </c>
      <c r="G421" s="3" t="s">
        <v>101</v>
      </c>
      <c r="H421" s="5">
        <v>826643</v>
      </c>
      <c r="I421" s="22" t="s">
        <v>681</v>
      </c>
      <c r="J421" s="5" t="s">
        <v>102</v>
      </c>
    </row>
    <row r="422" spans="1:10" ht="30">
      <c r="A422" s="27" t="s">
        <v>1417</v>
      </c>
      <c r="B422" s="3" t="s">
        <v>421</v>
      </c>
      <c r="C422" s="22" t="s">
        <v>59</v>
      </c>
      <c r="D422" s="22" t="s">
        <v>71</v>
      </c>
      <c r="E422" s="3" t="s">
        <v>100</v>
      </c>
      <c r="F422" s="3">
        <v>5</v>
      </c>
      <c r="G422" s="3" t="s">
        <v>101</v>
      </c>
      <c r="H422" s="5">
        <v>208969</v>
      </c>
      <c r="I422" s="22" t="s">
        <v>681</v>
      </c>
      <c r="J422" s="5" t="s">
        <v>102</v>
      </c>
    </row>
    <row r="423" spans="1:10" ht="30">
      <c r="A423" s="27" t="s">
        <v>1418</v>
      </c>
      <c r="B423" s="3" t="s">
        <v>1004</v>
      </c>
      <c r="C423" s="22" t="s">
        <v>59</v>
      </c>
      <c r="D423" s="22" t="s">
        <v>72</v>
      </c>
      <c r="E423" s="3" t="s">
        <v>100</v>
      </c>
      <c r="F423" s="3">
        <v>2</v>
      </c>
      <c r="G423" s="3" t="s">
        <v>101</v>
      </c>
      <c r="H423" s="5">
        <v>176041</v>
      </c>
      <c r="I423" s="22" t="s">
        <v>681</v>
      </c>
      <c r="J423" s="5" t="s">
        <v>102</v>
      </c>
    </row>
    <row r="424" spans="1:10" ht="30">
      <c r="A424" s="27" t="s">
        <v>1419</v>
      </c>
      <c r="B424" s="3" t="s">
        <v>399</v>
      </c>
      <c r="C424" s="22" t="s">
        <v>59</v>
      </c>
      <c r="D424" s="22" t="s">
        <v>73</v>
      </c>
      <c r="E424" s="3" t="s">
        <v>100</v>
      </c>
      <c r="F424" s="3">
        <v>2</v>
      </c>
      <c r="G424" s="3" t="s">
        <v>101</v>
      </c>
      <c r="H424" s="5">
        <v>37500</v>
      </c>
      <c r="I424" s="22" t="s">
        <v>681</v>
      </c>
      <c r="J424" s="5" t="s">
        <v>102</v>
      </c>
    </row>
    <row r="425" spans="1:10" ht="30">
      <c r="A425" s="27" t="s">
        <v>1420</v>
      </c>
      <c r="B425" s="3" t="s">
        <v>426</v>
      </c>
      <c r="C425" s="3" t="s">
        <v>58</v>
      </c>
      <c r="D425" s="22" t="s">
        <v>74</v>
      </c>
      <c r="E425" s="3" t="s">
        <v>100</v>
      </c>
      <c r="F425" s="3">
        <v>1</v>
      </c>
      <c r="G425" s="3" t="s">
        <v>101</v>
      </c>
      <c r="H425" s="5">
        <v>0</v>
      </c>
      <c r="I425" s="22" t="s">
        <v>681</v>
      </c>
      <c r="J425" s="5" t="s">
        <v>102</v>
      </c>
    </row>
    <row r="426" spans="1:10" ht="30">
      <c r="A426" s="27" t="s">
        <v>1421</v>
      </c>
      <c r="B426" s="3" t="s">
        <v>1005</v>
      </c>
      <c r="C426" s="3" t="s">
        <v>58</v>
      </c>
      <c r="D426" s="22" t="s">
        <v>75</v>
      </c>
      <c r="E426" s="3" t="s">
        <v>100</v>
      </c>
      <c r="F426" s="3">
        <v>4</v>
      </c>
      <c r="G426" s="3" t="s">
        <v>101</v>
      </c>
      <c r="H426" s="5">
        <v>0</v>
      </c>
      <c r="I426" s="22" t="s">
        <v>681</v>
      </c>
      <c r="J426" s="5" t="s">
        <v>102</v>
      </c>
    </row>
    <row r="427" spans="1:10" ht="30">
      <c r="A427" s="27" t="s">
        <v>1422</v>
      </c>
      <c r="B427" s="3" t="s">
        <v>1006</v>
      </c>
      <c r="C427" s="3" t="s">
        <v>58</v>
      </c>
      <c r="D427" s="22" t="s">
        <v>76</v>
      </c>
      <c r="E427" s="3" t="s">
        <v>100</v>
      </c>
      <c r="F427" s="3">
        <v>1</v>
      </c>
      <c r="G427" s="3" t="s">
        <v>101</v>
      </c>
      <c r="H427" s="5">
        <v>0</v>
      </c>
      <c r="I427" s="22" t="s">
        <v>681</v>
      </c>
      <c r="J427" s="5" t="s">
        <v>102</v>
      </c>
    </row>
    <row r="428" spans="1:10" ht="30">
      <c r="A428" s="27" t="s">
        <v>1423</v>
      </c>
      <c r="B428" s="22" t="s">
        <v>1003</v>
      </c>
      <c r="C428" s="3" t="s">
        <v>58</v>
      </c>
      <c r="D428" s="22" t="s">
        <v>77</v>
      </c>
      <c r="E428" s="3" t="s">
        <v>100</v>
      </c>
      <c r="F428" s="3">
        <v>10</v>
      </c>
      <c r="G428" s="3" t="s">
        <v>101</v>
      </c>
      <c r="H428" s="5">
        <v>0</v>
      </c>
      <c r="I428" s="22" t="s">
        <v>681</v>
      </c>
      <c r="J428" s="5" t="s">
        <v>102</v>
      </c>
    </row>
    <row r="429" spans="1:10" ht="30">
      <c r="A429" s="27" t="s">
        <v>1424</v>
      </c>
      <c r="B429" s="3" t="s">
        <v>421</v>
      </c>
      <c r="C429" s="3" t="s">
        <v>58</v>
      </c>
      <c r="D429" s="22" t="s">
        <v>78</v>
      </c>
      <c r="E429" s="3" t="s">
        <v>100</v>
      </c>
      <c r="F429" s="3">
        <v>5</v>
      </c>
      <c r="G429" s="3" t="s">
        <v>101</v>
      </c>
      <c r="H429" s="5">
        <v>0</v>
      </c>
      <c r="I429" s="22" t="s">
        <v>681</v>
      </c>
      <c r="J429" s="5" t="s">
        <v>102</v>
      </c>
    </row>
    <row r="430" spans="1:10" ht="30">
      <c r="A430" s="27" t="s">
        <v>1425</v>
      </c>
      <c r="B430" s="3" t="s">
        <v>425</v>
      </c>
      <c r="C430" s="3" t="s">
        <v>58</v>
      </c>
      <c r="D430" s="22" t="s">
        <v>79</v>
      </c>
      <c r="E430" s="3" t="s">
        <v>100</v>
      </c>
      <c r="F430" s="3">
        <v>1</v>
      </c>
      <c r="G430" s="3" t="s">
        <v>101</v>
      </c>
      <c r="H430" s="5">
        <v>0</v>
      </c>
      <c r="I430" s="22" t="s">
        <v>681</v>
      </c>
      <c r="J430" s="5" t="s">
        <v>102</v>
      </c>
    </row>
    <row r="431" spans="1:10" ht="45">
      <c r="A431" s="27" t="s">
        <v>1426</v>
      </c>
      <c r="B431" s="3" t="s">
        <v>423</v>
      </c>
      <c r="C431" s="3" t="s">
        <v>58</v>
      </c>
      <c r="D431" s="22" t="s">
        <v>968</v>
      </c>
      <c r="E431" s="3" t="s">
        <v>100</v>
      </c>
      <c r="F431" s="3">
        <v>2</v>
      </c>
      <c r="G431" s="3" t="s">
        <v>101</v>
      </c>
      <c r="H431" s="5">
        <v>0</v>
      </c>
      <c r="I431" s="22" t="s">
        <v>681</v>
      </c>
      <c r="J431" s="5" t="s">
        <v>102</v>
      </c>
    </row>
    <row r="432" spans="1:10" ht="60">
      <c r="A432" s="27" t="s">
        <v>1427</v>
      </c>
      <c r="B432" s="3" t="s">
        <v>423</v>
      </c>
      <c r="C432" s="3" t="s">
        <v>58</v>
      </c>
      <c r="D432" s="22" t="s">
        <v>969</v>
      </c>
      <c r="E432" s="3" t="s">
        <v>100</v>
      </c>
      <c r="F432" s="3">
        <v>2</v>
      </c>
      <c r="G432" s="3" t="s">
        <v>101</v>
      </c>
      <c r="H432" s="5">
        <v>0</v>
      </c>
      <c r="I432" s="22" t="s">
        <v>681</v>
      </c>
      <c r="J432" s="5" t="s">
        <v>102</v>
      </c>
    </row>
    <row r="433" spans="1:10" ht="30">
      <c r="A433" s="27" t="s">
        <v>1428</v>
      </c>
      <c r="B433" s="3" t="s">
        <v>422</v>
      </c>
      <c r="C433" s="3" t="s">
        <v>58</v>
      </c>
      <c r="D433" s="22" t="s">
        <v>66</v>
      </c>
      <c r="E433" s="3" t="s">
        <v>100</v>
      </c>
      <c r="F433" s="3">
        <v>1</v>
      </c>
      <c r="G433" s="3" t="s">
        <v>101</v>
      </c>
      <c r="H433" s="5">
        <v>0</v>
      </c>
      <c r="I433" s="22" t="s">
        <v>681</v>
      </c>
      <c r="J433" s="5" t="s">
        <v>102</v>
      </c>
    </row>
    <row r="434" spans="1:10" ht="45">
      <c r="A434" s="27" t="s">
        <v>1429</v>
      </c>
      <c r="B434" s="3" t="s">
        <v>1007</v>
      </c>
      <c r="C434" s="3" t="s">
        <v>58</v>
      </c>
      <c r="D434" s="22" t="s">
        <v>970</v>
      </c>
      <c r="E434" s="3" t="s">
        <v>100</v>
      </c>
      <c r="F434" s="3">
        <v>5</v>
      </c>
      <c r="G434" s="3" t="s">
        <v>101</v>
      </c>
      <c r="H434" s="5">
        <v>0</v>
      </c>
      <c r="I434" s="22" t="s">
        <v>681</v>
      </c>
      <c r="J434" s="5" t="s">
        <v>102</v>
      </c>
    </row>
    <row r="435" spans="1:10" ht="30">
      <c r="A435" s="27" t="s">
        <v>1430</v>
      </c>
      <c r="B435" s="22" t="s">
        <v>1003</v>
      </c>
      <c r="C435" s="22" t="s">
        <v>59</v>
      </c>
      <c r="D435" s="22" t="s">
        <v>971</v>
      </c>
      <c r="E435" s="3" t="s">
        <v>100</v>
      </c>
      <c r="F435" s="3">
        <v>7</v>
      </c>
      <c r="G435" s="3" t="s">
        <v>101</v>
      </c>
      <c r="H435" s="5">
        <v>455294</v>
      </c>
      <c r="I435" s="22" t="s">
        <v>681</v>
      </c>
      <c r="J435" s="5" t="s">
        <v>102</v>
      </c>
    </row>
    <row r="436" spans="1:10" ht="30">
      <c r="A436" s="27" t="s">
        <v>1431</v>
      </c>
      <c r="B436" s="22" t="s">
        <v>1003</v>
      </c>
      <c r="C436" s="22" t="s">
        <v>59</v>
      </c>
      <c r="D436" s="22" t="s">
        <v>972</v>
      </c>
      <c r="E436" s="3" t="s">
        <v>100</v>
      </c>
      <c r="F436" s="3">
        <v>6</v>
      </c>
      <c r="G436" s="3" t="s">
        <v>101</v>
      </c>
      <c r="H436" s="5">
        <v>390252</v>
      </c>
      <c r="I436" s="22" t="s">
        <v>681</v>
      </c>
      <c r="J436" s="5" t="s">
        <v>102</v>
      </c>
    </row>
    <row r="437" spans="1:10" ht="30">
      <c r="A437" s="27" t="s">
        <v>1432</v>
      </c>
      <c r="B437" s="22" t="s">
        <v>1003</v>
      </c>
      <c r="C437" s="22" t="s">
        <v>59</v>
      </c>
      <c r="D437" s="22" t="s">
        <v>973</v>
      </c>
      <c r="E437" s="3" t="s">
        <v>100</v>
      </c>
      <c r="F437" s="3">
        <v>7</v>
      </c>
      <c r="G437" s="3" t="s">
        <v>101</v>
      </c>
      <c r="H437" s="5">
        <v>455294</v>
      </c>
      <c r="I437" s="22" t="s">
        <v>681</v>
      </c>
      <c r="J437" s="5" t="s">
        <v>102</v>
      </c>
    </row>
    <row r="438" spans="1:10" ht="30">
      <c r="A438" s="27" t="s">
        <v>1433</v>
      </c>
      <c r="B438" s="22" t="s">
        <v>1003</v>
      </c>
      <c r="C438" s="22" t="s">
        <v>59</v>
      </c>
      <c r="D438" s="22" t="s">
        <v>974</v>
      </c>
      <c r="E438" s="3" t="s">
        <v>100</v>
      </c>
      <c r="F438" s="3">
        <v>8</v>
      </c>
      <c r="G438" s="3" t="s">
        <v>101</v>
      </c>
      <c r="H438" s="5">
        <v>434921</v>
      </c>
      <c r="I438" s="22" t="s">
        <v>681</v>
      </c>
      <c r="J438" s="5" t="s">
        <v>102</v>
      </c>
    </row>
    <row r="439" spans="1:10" ht="30">
      <c r="A439" s="27" t="s">
        <v>1434</v>
      </c>
      <c r="B439" s="22" t="s">
        <v>421</v>
      </c>
      <c r="C439" s="22" t="s">
        <v>59</v>
      </c>
      <c r="D439" s="22" t="s">
        <v>80</v>
      </c>
      <c r="E439" s="3" t="s">
        <v>100</v>
      </c>
      <c r="F439" s="3">
        <v>7</v>
      </c>
      <c r="G439" s="3" t="s">
        <v>101</v>
      </c>
      <c r="H439" s="5">
        <v>334224.94</v>
      </c>
      <c r="I439" s="22" t="s">
        <v>681</v>
      </c>
      <c r="J439" s="5" t="s">
        <v>102</v>
      </c>
    </row>
    <row r="440" spans="1:10" ht="30">
      <c r="A440" s="27" t="s">
        <v>1435</v>
      </c>
      <c r="B440" s="22" t="s">
        <v>425</v>
      </c>
      <c r="C440" s="3" t="s">
        <v>58</v>
      </c>
      <c r="D440" s="22" t="s">
        <v>975</v>
      </c>
      <c r="E440" s="3" t="s">
        <v>100</v>
      </c>
      <c r="F440" s="3">
        <v>1</v>
      </c>
      <c r="G440" s="3" t="s">
        <v>101</v>
      </c>
      <c r="H440" s="5">
        <v>100446</v>
      </c>
      <c r="I440" s="22" t="s">
        <v>681</v>
      </c>
      <c r="J440" s="5" t="s">
        <v>102</v>
      </c>
    </row>
    <row r="441" spans="1:10" ht="45">
      <c r="A441" s="27" t="s">
        <v>1436</v>
      </c>
      <c r="B441" s="3" t="s">
        <v>1008</v>
      </c>
      <c r="C441" s="3" t="s">
        <v>58</v>
      </c>
      <c r="D441" s="22" t="s">
        <v>976</v>
      </c>
      <c r="E441" s="3" t="s">
        <v>100</v>
      </c>
      <c r="F441" s="3">
        <v>1</v>
      </c>
      <c r="G441" s="3" t="s">
        <v>101</v>
      </c>
      <c r="H441" s="5">
        <v>0</v>
      </c>
      <c r="I441" s="22" t="s">
        <v>681</v>
      </c>
      <c r="J441" s="5" t="s">
        <v>102</v>
      </c>
    </row>
    <row r="442" spans="1:10" ht="60">
      <c r="A442" s="27" t="s">
        <v>1437</v>
      </c>
      <c r="B442" s="3" t="s">
        <v>423</v>
      </c>
      <c r="C442" s="3" t="s">
        <v>58</v>
      </c>
      <c r="D442" s="22" t="s">
        <v>977</v>
      </c>
      <c r="E442" s="3" t="s">
        <v>100</v>
      </c>
      <c r="F442" s="3">
        <v>2</v>
      </c>
      <c r="G442" s="3" t="s">
        <v>101</v>
      </c>
      <c r="H442" s="5">
        <v>0</v>
      </c>
      <c r="I442" s="22" t="s">
        <v>681</v>
      </c>
      <c r="J442" s="5" t="s">
        <v>102</v>
      </c>
    </row>
    <row r="443" spans="1:10" ht="45">
      <c r="A443" s="27" t="s">
        <v>1438</v>
      </c>
      <c r="B443" s="3" t="s">
        <v>423</v>
      </c>
      <c r="C443" s="3" t="s">
        <v>58</v>
      </c>
      <c r="D443" s="22" t="s">
        <v>978</v>
      </c>
      <c r="E443" s="3" t="s">
        <v>100</v>
      </c>
      <c r="F443" s="3">
        <v>3</v>
      </c>
      <c r="G443" s="3" t="s">
        <v>101</v>
      </c>
      <c r="H443" s="5">
        <v>10330.24</v>
      </c>
      <c r="I443" s="22" t="s">
        <v>681</v>
      </c>
      <c r="J443" s="5" t="s">
        <v>102</v>
      </c>
    </row>
    <row r="444" spans="1:10" ht="30">
      <c r="A444" s="27" t="s">
        <v>1439</v>
      </c>
      <c r="B444" s="3" t="s">
        <v>426</v>
      </c>
      <c r="C444" s="3" t="s">
        <v>58</v>
      </c>
      <c r="D444" s="22" t="s">
        <v>979</v>
      </c>
      <c r="E444" s="3" t="s">
        <v>100</v>
      </c>
      <c r="F444" s="3">
        <v>1</v>
      </c>
      <c r="G444" s="3" t="s">
        <v>101</v>
      </c>
      <c r="H444" s="5">
        <v>0</v>
      </c>
      <c r="I444" s="22" t="s">
        <v>681</v>
      </c>
      <c r="J444" s="5" t="s">
        <v>102</v>
      </c>
    </row>
    <row r="445" spans="1:10" ht="45">
      <c r="A445" s="27" t="s">
        <v>1440</v>
      </c>
      <c r="B445" s="3" t="s">
        <v>1009</v>
      </c>
      <c r="C445" s="3" t="s">
        <v>58</v>
      </c>
      <c r="D445" s="22" t="s">
        <v>980</v>
      </c>
      <c r="E445" s="3" t="s">
        <v>100</v>
      </c>
      <c r="F445" s="3">
        <v>3</v>
      </c>
      <c r="G445" s="3" t="s">
        <v>101</v>
      </c>
      <c r="H445" s="5">
        <v>45072.3</v>
      </c>
      <c r="I445" s="22" t="s">
        <v>681</v>
      </c>
      <c r="J445" s="5" t="s">
        <v>102</v>
      </c>
    </row>
    <row r="446" spans="1:10" ht="30">
      <c r="A446" s="27" t="s">
        <v>1441</v>
      </c>
      <c r="B446" s="3" t="s">
        <v>605</v>
      </c>
      <c r="C446" s="3" t="s">
        <v>58</v>
      </c>
      <c r="D446" s="22" t="s">
        <v>981</v>
      </c>
      <c r="E446" s="3" t="s">
        <v>100</v>
      </c>
      <c r="F446" s="3">
        <v>20</v>
      </c>
      <c r="G446" s="3" t="s">
        <v>101</v>
      </c>
      <c r="H446" s="5">
        <v>102100</v>
      </c>
      <c r="I446" s="22" t="s">
        <v>681</v>
      </c>
      <c r="J446" s="5" t="s">
        <v>102</v>
      </c>
    </row>
    <row r="447" spans="1:10" ht="30">
      <c r="A447" s="27" t="s">
        <v>1442</v>
      </c>
      <c r="B447" s="3" t="s">
        <v>605</v>
      </c>
      <c r="C447" s="3" t="s">
        <v>58</v>
      </c>
      <c r="D447" s="22" t="s">
        <v>403</v>
      </c>
      <c r="E447" s="3" t="s">
        <v>100</v>
      </c>
      <c r="F447" s="3">
        <v>210</v>
      </c>
      <c r="G447" s="3" t="s">
        <v>101</v>
      </c>
      <c r="H447" s="5">
        <v>16874999.399999999</v>
      </c>
      <c r="I447" s="22" t="s">
        <v>681</v>
      </c>
      <c r="J447" s="5" t="s">
        <v>102</v>
      </c>
    </row>
    <row r="448" spans="1:10" ht="30">
      <c r="A448" s="27" t="s">
        <v>1443</v>
      </c>
      <c r="B448" s="3" t="s">
        <v>410</v>
      </c>
      <c r="C448" s="22" t="s">
        <v>59</v>
      </c>
      <c r="D448" s="22" t="s">
        <v>982</v>
      </c>
      <c r="E448" s="3" t="s">
        <v>100</v>
      </c>
      <c r="F448" s="3">
        <v>500</v>
      </c>
      <c r="G448" s="3" t="s">
        <v>101</v>
      </c>
      <c r="H448" s="5">
        <f>185000+49375</f>
        <v>234375</v>
      </c>
      <c r="I448" s="22" t="s">
        <v>681</v>
      </c>
      <c r="J448" s="5" t="s">
        <v>102</v>
      </c>
    </row>
    <row r="449" spans="1:10" ht="30">
      <c r="A449" s="27" t="s">
        <v>1444</v>
      </c>
      <c r="B449" s="3" t="s">
        <v>1010</v>
      </c>
      <c r="C449" s="22" t="s">
        <v>59</v>
      </c>
      <c r="D449" s="22" t="s">
        <v>983</v>
      </c>
      <c r="E449" s="3" t="s">
        <v>100</v>
      </c>
      <c r="F449" s="3">
        <v>10</v>
      </c>
      <c r="G449" s="3" t="s">
        <v>101</v>
      </c>
      <c r="H449" s="5">
        <f>98300+2816.07</f>
        <v>101116.07</v>
      </c>
      <c r="I449" s="22" t="s">
        <v>681</v>
      </c>
      <c r="J449" s="5" t="s">
        <v>102</v>
      </c>
    </row>
    <row r="450" spans="1:10" ht="45">
      <c r="A450" s="27" t="s">
        <v>1445</v>
      </c>
      <c r="B450" s="3" t="s">
        <v>413</v>
      </c>
      <c r="C450" s="3" t="s">
        <v>58</v>
      </c>
      <c r="D450" s="22" t="s">
        <v>404</v>
      </c>
      <c r="E450" s="3" t="s">
        <v>100</v>
      </c>
      <c r="F450" s="3">
        <v>111</v>
      </c>
      <c r="G450" s="3" t="s">
        <v>101</v>
      </c>
      <c r="H450" s="5">
        <v>4041621</v>
      </c>
      <c r="I450" s="22" t="s">
        <v>681</v>
      </c>
      <c r="J450" s="5" t="s">
        <v>102</v>
      </c>
    </row>
    <row r="451" spans="1:10" ht="45">
      <c r="A451" s="27" t="s">
        <v>1446</v>
      </c>
      <c r="B451" s="3" t="s">
        <v>413</v>
      </c>
      <c r="C451" s="3" t="s">
        <v>58</v>
      </c>
      <c r="D451" s="22" t="s">
        <v>405</v>
      </c>
      <c r="E451" s="3" t="s">
        <v>100</v>
      </c>
      <c r="F451" s="3">
        <v>18</v>
      </c>
      <c r="G451" s="3" t="s">
        <v>101</v>
      </c>
      <c r="H451" s="5">
        <v>627372</v>
      </c>
      <c r="I451" s="22" t="s">
        <v>681</v>
      </c>
      <c r="J451" s="5" t="s">
        <v>102</v>
      </c>
    </row>
    <row r="452" spans="1:10" ht="45">
      <c r="A452" s="27" t="s">
        <v>1447</v>
      </c>
      <c r="B452" s="3" t="s">
        <v>413</v>
      </c>
      <c r="C452" s="3" t="s">
        <v>58</v>
      </c>
      <c r="D452" s="22" t="s">
        <v>406</v>
      </c>
      <c r="E452" s="3" t="s">
        <v>100</v>
      </c>
      <c r="F452" s="3">
        <v>3</v>
      </c>
      <c r="G452" s="3" t="s">
        <v>101</v>
      </c>
      <c r="H452" s="5">
        <f>116844+41250-158094</f>
        <v>0</v>
      </c>
      <c r="I452" s="22" t="s">
        <v>681</v>
      </c>
      <c r="J452" s="5" t="s">
        <v>102</v>
      </c>
    </row>
    <row r="453" spans="1:10" ht="45">
      <c r="A453" s="27" t="s">
        <v>1448</v>
      </c>
      <c r="B453" s="3" t="s">
        <v>413</v>
      </c>
      <c r="C453" s="3" t="s">
        <v>58</v>
      </c>
      <c r="D453" s="22" t="s">
        <v>407</v>
      </c>
      <c r="E453" s="3" t="s">
        <v>100</v>
      </c>
      <c r="F453" s="3">
        <v>6</v>
      </c>
      <c r="G453" s="3" t="s">
        <v>101</v>
      </c>
      <c r="H453" s="5">
        <f>324000-324000</f>
        <v>0</v>
      </c>
      <c r="I453" s="22" t="s">
        <v>681</v>
      </c>
      <c r="J453" s="5" t="s">
        <v>102</v>
      </c>
    </row>
    <row r="454" spans="1:10" ht="45">
      <c r="A454" s="27" t="s">
        <v>1449</v>
      </c>
      <c r="B454" s="3" t="s">
        <v>413</v>
      </c>
      <c r="C454" s="3" t="s">
        <v>58</v>
      </c>
      <c r="D454" s="22" t="s">
        <v>408</v>
      </c>
      <c r="E454" s="3" t="s">
        <v>100</v>
      </c>
      <c r="F454" s="3">
        <v>6</v>
      </c>
      <c r="G454" s="3" t="s">
        <v>101</v>
      </c>
      <c r="H454" s="5">
        <v>285408</v>
      </c>
      <c r="I454" s="22" t="s">
        <v>681</v>
      </c>
      <c r="J454" s="5" t="s">
        <v>102</v>
      </c>
    </row>
    <row r="455" spans="1:10" ht="45">
      <c r="A455" s="27" t="s">
        <v>1450</v>
      </c>
      <c r="B455" s="3" t="s">
        <v>1011</v>
      </c>
      <c r="C455" s="3" t="s">
        <v>58</v>
      </c>
      <c r="D455" s="22" t="s">
        <v>984</v>
      </c>
      <c r="E455" s="3" t="s">
        <v>100</v>
      </c>
      <c r="F455" s="3">
        <v>40</v>
      </c>
      <c r="G455" s="3" t="s">
        <v>101</v>
      </c>
      <c r="H455" s="5">
        <v>1000000</v>
      </c>
      <c r="I455" s="22" t="s">
        <v>681</v>
      </c>
      <c r="J455" s="5" t="s">
        <v>102</v>
      </c>
    </row>
    <row r="456" spans="1:10" ht="45">
      <c r="A456" s="27" t="s">
        <v>1451</v>
      </c>
      <c r="B456" s="3" t="s">
        <v>1011</v>
      </c>
      <c r="C456" s="3" t="s">
        <v>58</v>
      </c>
      <c r="D456" s="22" t="s">
        <v>985</v>
      </c>
      <c r="E456" s="3" t="s">
        <v>100</v>
      </c>
      <c r="F456" s="3">
        <v>10</v>
      </c>
      <c r="G456" s="3" t="s">
        <v>101</v>
      </c>
      <c r="H456" s="5">
        <v>260000</v>
      </c>
      <c r="I456" s="22" t="s">
        <v>681</v>
      </c>
      <c r="J456" s="5" t="s">
        <v>102</v>
      </c>
    </row>
    <row r="457" spans="1:10" ht="30">
      <c r="A457" s="27" t="s">
        <v>1452</v>
      </c>
      <c r="B457" s="3" t="s">
        <v>591</v>
      </c>
      <c r="C457" s="3" t="s">
        <v>58</v>
      </c>
      <c r="D457" s="22" t="s">
        <v>986</v>
      </c>
      <c r="E457" s="3" t="s">
        <v>100</v>
      </c>
      <c r="F457" s="3">
        <v>6</v>
      </c>
      <c r="G457" s="3" t="s">
        <v>101</v>
      </c>
      <c r="H457" s="5">
        <f>3000000-3000000</f>
        <v>0</v>
      </c>
      <c r="I457" s="22" t="s">
        <v>681</v>
      </c>
      <c r="J457" s="5" t="s">
        <v>102</v>
      </c>
    </row>
    <row r="458" spans="1:10" ht="30">
      <c r="A458" s="27" t="s">
        <v>1453</v>
      </c>
      <c r="B458" s="3" t="s">
        <v>1012</v>
      </c>
      <c r="C458" s="3" t="s">
        <v>59</v>
      </c>
      <c r="D458" s="22" t="s">
        <v>987</v>
      </c>
      <c r="E458" s="3" t="s">
        <v>100</v>
      </c>
      <c r="F458" s="3">
        <v>40</v>
      </c>
      <c r="G458" s="3" t="s">
        <v>101</v>
      </c>
      <c r="H458" s="5">
        <f>2450+66478.57</f>
        <v>68928.570000000007</v>
      </c>
      <c r="I458" s="22" t="s">
        <v>681</v>
      </c>
      <c r="J458" s="5" t="s">
        <v>102</v>
      </c>
    </row>
    <row r="459" spans="1:10" ht="30">
      <c r="A459" s="27" t="s">
        <v>1454</v>
      </c>
      <c r="B459" s="3" t="s">
        <v>1012</v>
      </c>
      <c r="C459" s="22" t="s">
        <v>59</v>
      </c>
      <c r="D459" s="22" t="s">
        <v>988</v>
      </c>
      <c r="E459" s="3" t="s">
        <v>100</v>
      </c>
      <c r="F459" s="3">
        <v>50</v>
      </c>
      <c r="G459" s="3" t="s">
        <v>101</v>
      </c>
      <c r="H459" s="5">
        <v>17375</v>
      </c>
      <c r="I459" s="22" t="s">
        <v>681</v>
      </c>
      <c r="J459" s="5" t="s">
        <v>102</v>
      </c>
    </row>
    <row r="460" spans="1:10" ht="30">
      <c r="A460" s="27" t="s">
        <v>1455</v>
      </c>
      <c r="B460" s="3" t="s">
        <v>1013</v>
      </c>
      <c r="C460" s="22" t="s">
        <v>59</v>
      </c>
      <c r="D460" s="22" t="s">
        <v>989</v>
      </c>
      <c r="E460" s="3" t="s">
        <v>100</v>
      </c>
      <c r="F460" s="3">
        <v>100</v>
      </c>
      <c r="G460" s="3" t="s">
        <v>101</v>
      </c>
      <c r="H460" s="5">
        <f>129960+71825.71</f>
        <v>201785.71000000002</v>
      </c>
      <c r="I460" s="22" t="s">
        <v>681</v>
      </c>
      <c r="J460" s="5" t="s">
        <v>102</v>
      </c>
    </row>
    <row r="461" spans="1:10" ht="30">
      <c r="A461" s="27" t="s">
        <v>1456</v>
      </c>
      <c r="B461" s="3" t="s">
        <v>1014</v>
      </c>
      <c r="C461" s="22" t="s">
        <v>59</v>
      </c>
      <c r="D461" s="22" t="s">
        <v>990</v>
      </c>
      <c r="E461" s="3" t="s">
        <v>100</v>
      </c>
      <c r="F461" s="3">
        <v>50</v>
      </c>
      <c r="G461" s="3" t="s">
        <v>101</v>
      </c>
      <c r="H461" s="5">
        <v>3075</v>
      </c>
      <c r="I461" s="22" t="s">
        <v>681</v>
      </c>
      <c r="J461" s="5" t="s">
        <v>102</v>
      </c>
    </row>
    <row r="462" spans="1:10" ht="30">
      <c r="A462" s="27" t="s">
        <v>1457</v>
      </c>
      <c r="B462" s="3" t="s">
        <v>991</v>
      </c>
      <c r="C462" s="3" t="s">
        <v>58</v>
      </c>
      <c r="D462" s="22" t="s">
        <v>991</v>
      </c>
      <c r="E462" s="3" t="s">
        <v>100</v>
      </c>
      <c r="F462" s="3">
        <v>2</v>
      </c>
      <c r="G462" s="3" t="s">
        <v>101</v>
      </c>
      <c r="H462" s="5">
        <v>21500</v>
      </c>
      <c r="I462" s="22" t="s">
        <v>681</v>
      </c>
      <c r="J462" s="5" t="s">
        <v>102</v>
      </c>
    </row>
    <row r="463" spans="1:10" ht="30">
      <c r="A463" s="27" t="s">
        <v>1458</v>
      </c>
      <c r="B463" s="3" t="s">
        <v>992</v>
      </c>
      <c r="C463" s="3" t="s">
        <v>58</v>
      </c>
      <c r="D463" s="22" t="s">
        <v>992</v>
      </c>
      <c r="E463" s="3" t="s">
        <v>100</v>
      </c>
      <c r="F463" s="3">
        <v>30</v>
      </c>
      <c r="G463" s="3" t="s">
        <v>101</v>
      </c>
      <c r="H463" s="5">
        <f>205920-7320-7250-64557</f>
        <v>126793</v>
      </c>
      <c r="I463" s="22" t="s">
        <v>681</v>
      </c>
      <c r="J463" s="5" t="s">
        <v>102</v>
      </c>
    </row>
    <row r="464" spans="1:10" ht="30">
      <c r="A464" s="27" t="s">
        <v>1459</v>
      </c>
      <c r="B464" s="3" t="s">
        <v>1015</v>
      </c>
      <c r="C464" s="3" t="s">
        <v>58</v>
      </c>
      <c r="D464" s="22" t="s">
        <v>993</v>
      </c>
      <c r="E464" s="3" t="s">
        <v>100</v>
      </c>
      <c r="F464" s="3">
        <v>4</v>
      </c>
      <c r="G464" s="3" t="s">
        <v>101</v>
      </c>
      <c r="H464" s="5">
        <f>30712+7320</f>
        <v>38032</v>
      </c>
      <c r="I464" s="22" t="s">
        <v>681</v>
      </c>
      <c r="J464" s="5" t="s">
        <v>102</v>
      </c>
    </row>
    <row r="465" spans="1:10" ht="45">
      <c r="A465" s="27" t="s">
        <v>1460</v>
      </c>
      <c r="B465" s="3" t="s">
        <v>81</v>
      </c>
      <c r="C465" s="3" t="s">
        <v>58</v>
      </c>
      <c r="D465" s="22" t="s">
        <v>994</v>
      </c>
      <c r="E465" s="3" t="s">
        <v>100</v>
      </c>
      <c r="F465" s="3">
        <v>6</v>
      </c>
      <c r="G465" s="3" t="s">
        <v>101</v>
      </c>
      <c r="H465" s="5">
        <v>1839666</v>
      </c>
      <c r="I465" s="22" t="s">
        <v>681</v>
      </c>
      <c r="J465" s="5" t="s">
        <v>102</v>
      </c>
    </row>
    <row r="466" spans="1:10" ht="30">
      <c r="A466" s="27" t="s">
        <v>1461</v>
      </c>
      <c r="B466" s="3" t="s">
        <v>409</v>
      </c>
      <c r="C466" s="3" t="s">
        <v>58</v>
      </c>
      <c r="D466" s="22" t="s">
        <v>409</v>
      </c>
      <c r="E466" s="3" t="s">
        <v>100</v>
      </c>
      <c r="F466" s="3">
        <v>1000</v>
      </c>
      <c r="G466" s="3" t="s">
        <v>101</v>
      </c>
      <c r="H466" s="5">
        <v>491000</v>
      </c>
      <c r="I466" s="22" t="s">
        <v>681</v>
      </c>
      <c r="J466" s="5" t="s">
        <v>102</v>
      </c>
    </row>
    <row r="467" spans="1:10" ht="30">
      <c r="A467" s="27" t="s">
        <v>1462</v>
      </c>
      <c r="B467" s="3" t="s">
        <v>1016</v>
      </c>
      <c r="C467" s="3" t="s">
        <v>58</v>
      </c>
      <c r="D467" s="22" t="s">
        <v>995</v>
      </c>
      <c r="E467" s="3" t="s">
        <v>100</v>
      </c>
      <c r="F467" s="3">
        <v>20</v>
      </c>
      <c r="G467" s="3" t="s">
        <v>101</v>
      </c>
      <c r="H467" s="5">
        <f>480000-480000</f>
        <v>0</v>
      </c>
      <c r="I467" s="22" t="s">
        <v>681</v>
      </c>
      <c r="J467" s="5" t="s">
        <v>102</v>
      </c>
    </row>
    <row r="468" spans="1:10" ht="30">
      <c r="A468" s="27" t="s">
        <v>1463</v>
      </c>
      <c r="B468" s="3" t="s">
        <v>996</v>
      </c>
      <c r="C468" s="3" t="s">
        <v>58</v>
      </c>
      <c r="D468" s="22" t="s">
        <v>996</v>
      </c>
      <c r="E468" s="3" t="s">
        <v>100</v>
      </c>
      <c r="F468" s="3">
        <v>5000</v>
      </c>
      <c r="G468" s="3" t="s">
        <v>101</v>
      </c>
      <c r="H468" s="5">
        <f>482000-228245.35</f>
        <v>253754.65</v>
      </c>
      <c r="I468" s="22" t="s">
        <v>681</v>
      </c>
      <c r="J468" s="5" t="s">
        <v>102</v>
      </c>
    </row>
    <row r="469" spans="1:10" ht="30">
      <c r="A469" s="27" t="s">
        <v>1464</v>
      </c>
      <c r="B469" s="3" t="s">
        <v>1017</v>
      </c>
      <c r="C469" s="3" t="s">
        <v>58</v>
      </c>
      <c r="D469" s="22" t="s">
        <v>997</v>
      </c>
      <c r="E469" s="3" t="s">
        <v>100</v>
      </c>
      <c r="F469" s="3">
        <v>1</v>
      </c>
      <c r="G469" s="3" t="s">
        <v>101</v>
      </c>
      <c r="H469" s="5">
        <f>176700-176700</f>
        <v>0</v>
      </c>
      <c r="I469" s="22" t="s">
        <v>681</v>
      </c>
      <c r="J469" s="5" t="s">
        <v>102</v>
      </c>
    </row>
    <row r="470" spans="1:10" ht="30">
      <c r="A470" s="27" t="s">
        <v>1465</v>
      </c>
      <c r="B470" s="3" t="s">
        <v>412</v>
      </c>
      <c r="C470" s="3" t="s">
        <v>58</v>
      </c>
      <c r="D470" s="22" t="s">
        <v>998</v>
      </c>
      <c r="E470" s="3" t="s">
        <v>100</v>
      </c>
      <c r="F470" s="3">
        <v>6</v>
      </c>
      <c r="G470" s="3" t="s">
        <v>101</v>
      </c>
      <c r="H470" s="5">
        <f>251328-251328</f>
        <v>0</v>
      </c>
      <c r="I470" s="22" t="s">
        <v>681</v>
      </c>
      <c r="J470" s="5" t="s">
        <v>102</v>
      </c>
    </row>
    <row r="471" spans="1:10" ht="30">
      <c r="A471" s="27" t="s">
        <v>1466</v>
      </c>
      <c r="B471" s="3" t="s">
        <v>999</v>
      </c>
      <c r="C471" s="3" t="s">
        <v>58</v>
      </c>
      <c r="D471" s="22" t="s">
        <v>999</v>
      </c>
      <c r="E471" s="3" t="s">
        <v>100</v>
      </c>
      <c r="F471" s="3">
        <v>10</v>
      </c>
      <c r="G471" s="3" t="s">
        <v>101</v>
      </c>
      <c r="H471" s="5">
        <v>1557250</v>
      </c>
      <c r="I471" s="22" t="s">
        <v>681</v>
      </c>
      <c r="J471" s="5" t="s">
        <v>102</v>
      </c>
    </row>
    <row r="472" spans="1:10" ht="30">
      <c r="A472" s="27" t="s">
        <v>1467</v>
      </c>
      <c r="B472" s="3" t="s">
        <v>1018</v>
      </c>
      <c r="C472" s="3" t="s">
        <v>58</v>
      </c>
      <c r="D472" s="22" t="s">
        <v>1000</v>
      </c>
      <c r="E472" s="3" t="s">
        <v>100</v>
      </c>
      <c r="F472" s="3">
        <v>10</v>
      </c>
      <c r="G472" s="3" t="s">
        <v>101</v>
      </c>
      <c r="H472" s="5">
        <v>614500</v>
      </c>
      <c r="I472" s="22" t="s">
        <v>681</v>
      </c>
      <c r="J472" s="5" t="s">
        <v>102</v>
      </c>
    </row>
    <row r="473" spans="1:10" ht="45">
      <c r="A473" s="27" t="s">
        <v>1468</v>
      </c>
      <c r="B473" s="3" t="s">
        <v>1019</v>
      </c>
      <c r="C473" s="3" t="s">
        <v>58</v>
      </c>
      <c r="D473" s="22" t="s">
        <v>1019</v>
      </c>
      <c r="E473" s="3" t="s">
        <v>100</v>
      </c>
      <c r="F473" s="3">
        <v>1</v>
      </c>
      <c r="G473" s="3" t="s">
        <v>101</v>
      </c>
      <c r="H473" s="5">
        <v>1795000</v>
      </c>
      <c r="I473" s="22" t="s">
        <v>681</v>
      </c>
      <c r="J473" s="5" t="s">
        <v>102</v>
      </c>
    </row>
    <row r="474" spans="1:10" ht="30">
      <c r="A474" s="27" t="s">
        <v>1469</v>
      </c>
      <c r="B474" s="3" t="s">
        <v>1020</v>
      </c>
      <c r="C474" s="3" t="s">
        <v>58</v>
      </c>
      <c r="D474" s="22" t="s">
        <v>1035</v>
      </c>
      <c r="E474" s="3" t="s">
        <v>100</v>
      </c>
      <c r="F474" s="3">
        <v>1000</v>
      </c>
      <c r="G474" s="3" t="s">
        <v>101</v>
      </c>
      <c r="H474" s="5">
        <f>10886400-10882900</f>
        <v>3500</v>
      </c>
      <c r="I474" s="22" t="s">
        <v>681</v>
      </c>
      <c r="J474" s="5" t="s">
        <v>102</v>
      </c>
    </row>
    <row r="475" spans="1:10" ht="30">
      <c r="A475" s="27" t="s">
        <v>1470</v>
      </c>
      <c r="B475" s="3" t="s">
        <v>429</v>
      </c>
      <c r="C475" s="3" t="s">
        <v>58</v>
      </c>
      <c r="D475" s="3" t="s">
        <v>429</v>
      </c>
      <c r="E475" s="3" t="s">
        <v>100</v>
      </c>
      <c r="F475" s="3">
        <v>4</v>
      </c>
      <c r="G475" s="3" t="s">
        <v>101</v>
      </c>
      <c r="H475" s="5">
        <f>17857.12-13214</f>
        <v>4643.119999999999</v>
      </c>
      <c r="I475" s="22" t="s">
        <v>681</v>
      </c>
      <c r="J475" s="5" t="s">
        <v>102</v>
      </c>
    </row>
    <row r="476" spans="1:10" ht="30">
      <c r="A476" s="27" t="s">
        <v>1471</v>
      </c>
      <c r="B476" s="3" t="s">
        <v>19</v>
      </c>
      <c r="C476" s="22" t="s">
        <v>59</v>
      </c>
      <c r="D476" s="3" t="s">
        <v>19</v>
      </c>
      <c r="E476" s="3" t="s">
        <v>100</v>
      </c>
      <c r="F476" s="3">
        <v>5</v>
      </c>
      <c r="G476" s="3" t="s">
        <v>101</v>
      </c>
      <c r="H476" s="5">
        <v>2550</v>
      </c>
      <c r="I476" s="22" t="s">
        <v>681</v>
      </c>
      <c r="J476" s="5" t="s">
        <v>102</v>
      </c>
    </row>
    <row r="477" spans="1:10" ht="30">
      <c r="A477" s="27" t="s">
        <v>1472</v>
      </c>
      <c r="B477" s="3" t="s">
        <v>90</v>
      </c>
      <c r="C477" s="22" t="s">
        <v>59</v>
      </c>
      <c r="D477" s="3" t="s">
        <v>90</v>
      </c>
      <c r="E477" s="3" t="s">
        <v>100</v>
      </c>
      <c r="F477" s="3">
        <v>5</v>
      </c>
      <c r="G477" s="3" t="s">
        <v>101</v>
      </c>
      <c r="H477" s="5">
        <v>1725</v>
      </c>
      <c r="I477" s="22" t="s">
        <v>681</v>
      </c>
      <c r="J477" s="5" t="s">
        <v>102</v>
      </c>
    </row>
    <row r="478" spans="1:10" ht="30">
      <c r="A478" s="27" t="s">
        <v>1473</v>
      </c>
      <c r="B478" s="3" t="s">
        <v>91</v>
      </c>
      <c r="C478" s="22" t="s">
        <v>59</v>
      </c>
      <c r="D478" s="3" t="s">
        <v>91</v>
      </c>
      <c r="E478" s="3" t="s">
        <v>100</v>
      </c>
      <c r="F478" s="3">
        <v>5</v>
      </c>
      <c r="G478" s="3" t="s">
        <v>101</v>
      </c>
      <c r="H478" s="5">
        <v>1885</v>
      </c>
      <c r="I478" s="22" t="s">
        <v>681</v>
      </c>
      <c r="J478" s="5" t="s">
        <v>102</v>
      </c>
    </row>
    <row r="479" spans="1:10" ht="30">
      <c r="A479" s="27" t="s">
        <v>1474</v>
      </c>
      <c r="B479" s="3" t="s">
        <v>89</v>
      </c>
      <c r="C479" s="22" t="s">
        <v>59</v>
      </c>
      <c r="D479" s="3" t="s">
        <v>430</v>
      </c>
      <c r="E479" s="3" t="s">
        <v>100</v>
      </c>
      <c r="F479" s="3">
        <v>350</v>
      </c>
      <c r="G479" s="3" t="s">
        <v>101</v>
      </c>
      <c r="H479" s="5">
        <v>38850</v>
      </c>
      <c r="I479" s="22" t="s">
        <v>681</v>
      </c>
      <c r="J479" s="5" t="s">
        <v>102</v>
      </c>
    </row>
    <row r="480" spans="1:10" ht="30">
      <c r="A480" s="27" t="s">
        <v>1475</v>
      </c>
      <c r="B480" s="3" t="s">
        <v>390</v>
      </c>
      <c r="C480" s="22" t="s">
        <v>59</v>
      </c>
      <c r="D480" s="3" t="s">
        <v>390</v>
      </c>
      <c r="E480" s="3" t="s">
        <v>100</v>
      </c>
      <c r="F480" s="3">
        <v>100</v>
      </c>
      <c r="G480" s="3" t="s">
        <v>101</v>
      </c>
      <c r="H480" s="5">
        <v>21500</v>
      </c>
      <c r="I480" s="22" t="s">
        <v>681</v>
      </c>
      <c r="J480" s="5" t="s">
        <v>102</v>
      </c>
    </row>
    <row r="481" spans="1:10" ht="30">
      <c r="A481" s="27" t="s">
        <v>1476</v>
      </c>
      <c r="B481" s="3" t="s">
        <v>432</v>
      </c>
      <c r="C481" s="22" t="s">
        <v>59</v>
      </c>
      <c r="D481" s="3" t="s">
        <v>1021</v>
      </c>
      <c r="E481" s="3" t="s">
        <v>100</v>
      </c>
      <c r="F481" s="3">
        <v>5</v>
      </c>
      <c r="G481" s="3" t="s">
        <v>101</v>
      </c>
      <c r="H481" s="5">
        <v>10000</v>
      </c>
      <c r="I481" s="22" t="s">
        <v>681</v>
      </c>
      <c r="J481" s="5" t="s">
        <v>102</v>
      </c>
    </row>
    <row r="482" spans="1:10" ht="30">
      <c r="A482" s="27" t="s">
        <v>1477</v>
      </c>
      <c r="B482" s="3" t="s">
        <v>432</v>
      </c>
      <c r="C482" s="22" t="s">
        <v>59</v>
      </c>
      <c r="D482" s="3" t="s">
        <v>1022</v>
      </c>
      <c r="E482" s="3" t="s">
        <v>100</v>
      </c>
      <c r="F482" s="3">
        <v>5</v>
      </c>
      <c r="G482" s="3" t="s">
        <v>101</v>
      </c>
      <c r="H482" s="5">
        <v>12500</v>
      </c>
      <c r="I482" s="22" t="s">
        <v>681</v>
      </c>
      <c r="J482" s="5" t="s">
        <v>102</v>
      </c>
    </row>
    <row r="483" spans="1:10" ht="30">
      <c r="A483" s="27" t="s">
        <v>1478</v>
      </c>
      <c r="B483" s="3" t="s">
        <v>1029</v>
      </c>
      <c r="C483" s="22" t="s">
        <v>59</v>
      </c>
      <c r="D483" s="3" t="s">
        <v>1023</v>
      </c>
      <c r="E483" s="3" t="s">
        <v>100</v>
      </c>
      <c r="F483" s="3">
        <v>10</v>
      </c>
      <c r="G483" s="3" t="s">
        <v>101</v>
      </c>
      <c r="H483" s="5">
        <v>15000</v>
      </c>
      <c r="I483" s="22" t="s">
        <v>681</v>
      </c>
      <c r="J483" s="5" t="s">
        <v>102</v>
      </c>
    </row>
    <row r="484" spans="1:10" ht="30">
      <c r="A484" s="27" t="s">
        <v>1479</v>
      </c>
      <c r="B484" s="3" t="s">
        <v>391</v>
      </c>
      <c r="C484" s="22" t="s">
        <v>59</v>
      </c>
      <c r="D484" s="3" t="s">
        <v>1024</v>
      </c>
      <c r="E484" s="3" t="s">
        <v>100</v>
      </c>
      <c r="F484" s="3">
        <v>10</v>
      </c>
      <c r="G484" s="3" t="s">
        <v>101</v>
      </c>
      <c r="H484" s="5">
        <v>19000</v>
      </c>
      <c r="I484" s="22" t="s">
        <v>681</v>
      </c>
      <c r="J484" s="5" t="s">
        <v>102</v>
      </c>
    </row>
    <row r="485" spans="1:10" ht="30">
      <c r="A485" s="27" t="s">
        <v>1480</v>
      </c>
      <c r="B485" s="3" t="s">
        <v>437</v>
      </c>
      <c r="C485" s="22" t="s">
        <v>59</v>
      </c>
      <c r="D485" s="3" t="s">
        <v>431</v>
      </c>
      <c r="E485" s="3" t="s">
        <v>100</v>
      </c>
      <c r="F485" s="3">
        <v>40</v>
      </c>
      <c r="G485" s="3" t="s">
        <v>101</v>
      </c>
      <c r="H485" s="5">
        <v>12000</v>
      </c>
      <c r="I485" s="22" t="s">
        <v>681</v>
      </c>
      <c r="J485" s="5" t="s">
        <v>102</v>
      </c>
    </row>
    <row r="486" spans="1:10" ht="30">
      <c r="A486" s="27" t="s">
        <v>1481</v>
      </c>
      <c r="B486" s="3" t="s">
        <v>438</v>
      </c>
      <c r="C486" s="22" t="s">
        <v>60</v>
      </c>
      <c r="D486" s="3" t="s">
        <v>84</v>
      </c>
      <c r="E486" s="3" t="s">
        <v>100</v>
      </c>
      <c r="F486" s="3">
        <v>1000</v>
      </c>
      <c r="G486" s="3" t="s">
        <v>101</v>
      </c>
      <c r="H486" s="5">
        <v>654000</v>
      </c>
      <c r="I486" s="22" t="s">
        <v>681</v>
      </c>
      <c r="J486" s="5" t="s">
        <v>102</v>
      </c>
    </row>
    <row r="487" spans="1:10" ht="30">
      <c r="A487" s="27" t="s">
        <v>1482</v>
      </c>
      <c r="B487" s="3" t="s">
        <v>1030</v>
      </c>
      <c r="C487" s="22" t="s">
        <v>60</v>
      </c>
      <c r="D487" s="3" t="s">
        <v>85</v>
      </c>
      <c r="E487" s="3" t="s">
        <v>100</v>
      </c>
      <c r="F487" s="17">
        <v>400</v>
      </c>
      <c r="G487" s="3" t="s">
        <v>101</v>
      </c>
      <c r="H487" s="5">
        <v>122800</v>
      </c>
      <c r="I487" s="22" t="s">
        <v>681</v>
      </c>
      <c r="J487" s="5" t="s">
        <v>102</v>
      </c>
    </row>
    <row r="488" spans="1:10" ht="30">
      <c r="A488" s="27" t="s">
        <v>1483</v>
      </c>
      <c r="B488" s="3" t="s">
        <v>1031</v>
      </c>
      <c r="C488" s="22" t="s">
        <v>60</v>
      </c>
      <c r="D488" s="3" t="s">
        <v>86</v>
      </c>
      <c r="E488" s="3" t="s">
        <v>100</v>
      </c>
      <c r="F488" s="17">
        <v>660</v>
      </c>
      <c r="G488" s="3" t="s">
        <v>101</v>
      </c>
      <c r="H488" s="5">
        <v>264000</v>
      </c>
      <c r="I488" s="22" t="s">
        <v>681</v>
      </c>
      <c r="J488" s="5" t="s">
        <v>102</v>
      </c>
    </row>
    <row r="489" spans="1:10" ht="30">
      <c r="A489" s="27" t="s">
        <v>1484</v>
      </c>
      <c r="B489" s="3" t="s">
        <v>1032</v>
      </c>
      <c r="C489" s="22" t="s">
        <v>60</v>
      </c>
      <c r="D489" s="3" t="s">
        <v>87</v>
      </c>
      <c r="E489" s="3" t="s">
        <v>100</v>
      </c>
      <c r="F489" s="17">
        <v>680</v>
      </c>
      <c r="G489" s="3" t="s">
        <v>101</v>
      </c>
      <c r="H489" s="5">
        <v>272000</v>
      </c>
      <c r="I489" s="22" t="s">
        <v>681</v>
      </c>
      <c r="J489" s="5" t="s">
        <v>102</v>
      </c>
    </row>
    <row r="490" spans="1:10" ht="30">
      <c r="A490" s="27" t="s">
        <v>1485</v>
      </c>
      <c r="B490" s="3" t="s">
        <v>1033</v>
      </c>
      <c r="C490" s="22" t="s">
        <v>60</v>
      </c>
      <c r="D490" s="3" t="s">
        <v>88</v>
      </c>
      <c r="E490" s="3" t="s">
        <v>100</v>
      </c>
      <c r="F490" s="17">
        <v>480</v>
      </c>
      <c r="G490" s="3" t="s">
        <v>101</v>
      </c>
      <c r="H490" s="5">
        <v>312000</v>
      </c>
      <c r="I490" s="22" t="s">
        <v>681</v>
      </c>
      <c r="J490" s="5" t="s">
        <v>102</v>
      </c>
    </row>
    <row r="491" spans="1:10" ht="30">
      <c r="A491" s="27" t="s">
        <v>1486</v>
      </c>
      <c r="B491" s="3" t="s">
        <v>433</v>
      </c>
      <c r="C491" s="22" t="s">
        <v>60</v>
      </c>
      <c r="D491" s="3" t="s">
        <v>1025</v>
      </c>
      <c r="E491" s="3" t="s">
        <v>100</v>
      </c>
      <c r="F491" s="17">
        <v>250</v>
      </c>
      <c r="G491" s="3" t="s">
        <v>101</v>
      </c>
      <c r="H491" s="5">
        <v>100000</v>
      </c>
      <c r="I491" s="22" t="s">
        <v>681</v>
      </c>
      <c r="J491" s="5" t="s">
        <v>102</v>
      </c>
    </row>
    <row r="492" spans="1:10" ht="30">
      <c r="A492" s="27" t="s">
        <v>1487</v>
      </c>
      <c r="B492" s="3" t="s">
        <v>386</v>
      </c>
      <c r="C492" s="22" t="s">
        <v>59</v>
      </c>
      <c r="D492" s="3" t="s">
        <v>13</v>
      </c>
      <c r="E492" s="3" t="s">
        <v>100</v>
      </c>
      <c r="F492" s="17">
        <v>17</v>
      </c>
      <c r="G492" s="3" t="s">
        <v>101</v>
      </c>
      <c r="H492" s="5">
        <v>8415</v>
      </c>
      <c r="I492" s="22" t="s">
        <v>681</v>
      </c>
      <c r="J492" s="5" t="s">
        <v>102</v>
      </c>
    </row>
    <row r="493" spans="1:10" ht="30">
      <c r="A493" s="27" t="s">
        <v>1488</v>
      </c>
      <c r="B493" s="3" t="s">
        <v>388</v>
      </c>
      <c r="C493" s="22" t="s">
        <v>59</v>
      </c>
      <c r="D493" s="3" t="s">
        <v>1026</v>
      </c>
      <c r="E493" s="3" t="s">
        <v>100</v>
      </c>
      <c r="F493" s="17">
        <v>6</v>
      </c>
      <c r="G493" s="3" t="s">
        <v>101</v>
      </c>
      <c r="H493" s="5">
        <v>82800</v>
      </c>
      <c r="I493" s="22" t="s">
        <v>681</v>
      </c>
      <c r="J493" s="5" t="s">
        <v>102</v>
      </c>
    </row>
    <row r="494" spans="1:10" ht="30">
      <c r="A494" s="27" t="s">
        <v>1489</v>
      </c>
      <c r="B494" s="3" t="s">
        <v>388</v>
      </c>
      <c r="C494" s="22" t="s">
        <v>59</v>
      </c>
      <c r="D494" s="3" t="s">
        <v>1027</v>
      </c>
      <c r="E494" s="3" t="s">
        <v>100</v>
      </c>
      <c r="F494" s="17">
        <v>2</v>
      </c>
      <c r="G494" s="3" t="s">
        <v>101</v>
      </c>
      <c r="H494" s="5">
        <v>34000</v>
      </c>
      <c r="I494" s="22" t="s">
        <v>681</v>
      </c>
      <c r="J494" s="5" t="s">
        <v>102</v>
      </c>
    </row>
    <row r="495" spans="1:10" ht="30">
      <c r="A495" s="27" t="s">
        <v>1490</v>
      </c>
      <c r="B495" s="3" t="s">
        <v>427</v>
      </c>
      <c r="C495" s="22" t="s">
        <v>58</v>
      </c>
      <c r="D495" s="3" t="s">
        <v>26</v>
      </c>
      <c r="E495" s="3" t="s">
        <v>100</v>
      </c>
      <c r="F495" s="17">
        <v>8</v>
      </c>
      <c r="G495" s="3" t="s">
        <v>101</v>
      </c>
      <c r="H495" s="5">
        <v>18976</v>
      </c>
      <c r="I495" s="22" t="s">
        <v>681</v>
      </c>
      <c r="J495" s="5" t="s">
        <v>102</v>
      </c>
    </row>
    <row r="496" spans="1:10" ht="30">
      <c r="A496" s="27" t="s">
        <v>1491</v>
      </c>
      <c r="B496" s="22" t="s">
        <v>427</v>
      </c>
      <c r="C496" s="3" t="s">
        <v>58</v>
      </c>
      <c r="D496" s="3" t="s">
        <v>27</v>
      </c>
      <c r="E496" s="3" t="s">
        <v>100</v>
      </c>
      <c r="F496" s="3">
        <v>11</v>
      </c>
      <c r="G496" s="3" t="s">
        <v>101</v>
      </c>
      <c r="H496" s="5">
        <v>31702</v>
      </c>
      <c r="I496" s="22" t="s">
        <v>681</v>
      </c>
      <c r="J496" s="5" t="s">
        <v>102</v>
      </c>
    </row>
    <row r="497" spans="1:10" ht="30">
      <c r="A497" s="27" t="s">
        <v>1492</v>
      </c>
      <c r="B497" s="3" t="s">
        <v>1028</v>
      </c>
      <c r="C497" s="3" t="s">
        <v>58</v>
      </c>
      <c r="D497" s="3" t="s">
        <v>1028</v>
      </c>
      <c r="E497" s="3" t="s">
        <v>100</v>
      </c>
      <c r="F497" s="3">
        <v>1</v>
      </c>
      <c r="G497" s="3" t="s">
        <v>101</v>
      </c>
      <c r="H497" s="5">
        <f>5000-3586</f>
        <v>1414</v>
      </c>
      <c r="I497" s="22" t="s">
        <v>681</v>
      </c>
      <c r="J497" s="5" t="s">
        <v>102</v>
      </c>
    </row>
    <row r="498" spans="1:10" ht="60">
      <c r="A498" s="27" t="s">
        <v>1493</v>
      </c>
      <c r="B498" s="3" t="s">
        <v>1034</v>
      </c>
      <c r="C498" s="3" t="s">
        <v>58</v>
      </c>
      <c r="D498" s="3" t="s">
        <v>1936</v>
      </c>
      <c r="E498" s="3" t="s">
        <v>100</v>
      </c>
      <c r="F498" s="3">
        <v>13</v>
      </c>
      <c r="G498" s="3" t="s">
        <v>101</v>
      </c>
      <c r="H498" s="5">
        <v>13928.460000000001</v>
      </c>
      <c r="I498" s="22" t="s">
        <v>681</v>
      </c>
      <c r="J498" s="5" t="s">
        <v>102</v>
      </c>
    </row>
    <row r="499" spans="1:10" ht="27.75" customHeight="1">
      <c r="A499" s="27" t="s">
        <v>1494</v>
      </c>
      <c r="B499" s="3" t="s">
        <v>427</v>
      </c>
      <c r="C499" s="3" t="s">
        <v>58</v>
      </c>
      <c r="D499" s="22" t="s">
        <v>1036</v>
      </c>
      <c r="E499" s="3" t="s">
        <v>100</v>
      </c>
      <c r="F499" s="3">
        <v>1</v>
      </c>
      <c r="G499" s="3" t="s">
        <v>101</v>
      </c>
      <c r="H499" s="5">
        <f>2246400-2233114.29</f>
        <v>13285.709999999963</v>
      </c>
      <c r="I499" s="22" t="s">
        <v>681</v>
      </c>
      <c r="J499" s="5" t="s">
        <v>102</v>
      </c>
    </row>
    <row r="500" spans="1:10" ht="27.75" customHeight="1">
      <c r="A500" s="27" t="s">
        <v>2072</v>
      </c>
      <c r="B500" s="22" t="s">
        <v>2073</v>
      </c>
      <c r="C500" s="22" t="s">
        <v>58</v>
      </c>
      <c r="D500" s="44" t="s">
        <v>2074</v>
      </c>
      <c r="E500" s="22" t="s">
        <v>100</v>
      </c>
      <c r="F500" s="6">
        <v>300</v>
      </c>
      <c r="G500" s="22" t="s">
        <v>101</v>
      </c>
      <c r="H500" s="5">
        <f>39000+19500</f>
        <v>58500</v>
      </c>
      <c r="I500" s="22" t="s">
        <v>681</v>
      </c>
      <c r="J500" s="5" t="s">
        <v>102</v>
      </c>
    </row>
    <row r="501" spans="1:10" ht="27.75" customHeight="1">
      <c r="A501" s="27" t="s">
        <v>2075</v>
      </c>
      <c r="B501" s="44" t="s">
        <v>2073</v>
      </c>
      <c r="C501" s="22" t="s">
        <v>58</v>
      </c>
      <c r="D501" s="44" t="s">
        <v>2076</v>
      </c>
      <c r="E501" s="22" t="s">
        <v>100</v>
      </c>
      <c r="F501" s="6">
        <v>200</v>
      </c>
      <c r="G501" s="22" t="s">
        <v>101</v>
      </c>
      <c r="H501" s="5">
        <v>38999.999999999993</v>
      </c>
      <c r="I501" s="22" t="s">
        <v>681</v>
      </c>
      <c r="J501" s="5" t="s">
        <v>102</v>
      </c>
    </row>
    <row r="502" spans="1:10" ht="27.75" customHeight="1">
      <c r="A502" s="27" t="s">
        <v>2077</v>
      </c>
      <c r="B502" s="44" t="s">
        <v>922</v>
      </c>
      <c r="C502" s="22" t="s">
        <v>58</v>
      </c>
      <c r="D502" s="44" t="s">
        <v>2078</v>
      </c>
      <c r="E502" s="22" t="s">
        <v>100</v>
      </c>
      <c r="F502" s="6">
        <v>500</v>
      </c>
      <c r="G502" s="22" t="s">
        <v>101</v>
      </c>
      <c r="H502" s="5">
        <f>296000+74000</f>
        <v>370000</v>
      </c>
      <c r="I502" s="22" t="s">
        <v>681</v>
      </c>
      <c r="J502" s="5" t="s">
        <v>102</v>
      </c>
    </row>
    <row r="503" spans="1:10" ht="27.75" customHeight="1">
      <c r="A503" s="27" t="s">
        <v>2079</v>
      </c>
      <c r="B503" s="44" t="s">
        <v>393</v>
      </c>
      <c r="C503" s="22" t="s">
        <v>58</v>
      </c>
      <c r="D503" s="44" t="s">
        <v>2080</v>
      </c>
      <c r="E503" s="22" t="s">
        <v>100</v>
      </c>
      <c r="F503" s="6">
        <v>400</v>
      </c>
      <c r="G503" s="22" t="s">
        <v>101</v>
      </c>
      <c r="H503" s="5">
        <f>510000+170000</f>
        <v>680000</v>
      </c>
      <c r="I503" s="22" t="s">
        <v>681</v>
      </c>
      <c r="J503" s="5" t="s">
        <v>102</v>
      </c>
    </row>
    <row r="504" spans="1:10" ht="27.75" customHeight="1">
      <c r="A504" s="27" t="s">
        <v>2081</v>
      </c>
      <c r="B504" s="44" t="s">
        <v>1937</v>
      </c>
      <c r="C504" s="22" t="s">
        <v>58</v>
      </c>
      <c r="D504" s="44" t="s">
        <v>2082</v>
      </c>
      <c r="E504" s="22" t="s">
        <v>100</v>
      </c>
      <c r="F504" s="6">
        <v>2650</v>
      </c>
      <c r="G504" s="22" t="s">
        <v>101</v>
      </c>
      <c r="H504" s="5">
        <f>132500+7950</f>
        <v>140450</v>
      </c>
      <c r="I504" s="22" t="s">
        <v>681</v>
      </c>
      <c r="J504" s="5" t="s">
        <v>102</v>
      </c>
    </row>
    <row r="505" spans="1:10" ht="27.75" customHeight="1">
      <c r="A505" s="27" t="s">
        <v>2083</v>
      </c>
      <c r="B505" s="44" t="s">
        <v>427</v>
      </c>
      <c r="C505" s="22" t="s">
        <v>58</v>
      </c>
      <c r="D505" s="44" t="s">
        <v>2084</v>
      </c>
      <c r="E505" s="22" t="s">
        <v>100</v>
      </c>
      <c r="F505" s="6">
        <v>80</v>
      </c>
      <c r="G505" s="22" t="s">
        <v>101</v>
      </c>
      <c r="H505" s="5">
        <v>115999.99999999999</v>
      </c>
      <c r="I505" s="22" t="s">
        <v>681</v>
      </c>
      <c r="J505" s="5" t="s">
        <v>102</v>
      </c>
    </row>
    <row r="506" spans="1:10" ht="27.75" customHeight="1">
      <c r="A506" s="27" t="s">
        <v>2085</v>
      </c>
      <c r="B506" s="44" t="s">
        <v>427</v>
      </c>
      <c r="C506" s="22" t="s">
        <v>58</v>
      </c>
      <c r="D506" s="44" t="s">
        <v>2086</v>
      </c>
      <c r="E506" s="22" t="s">
        <v>100</v>
      </c>
      <c r="F506" s="6">
        <v>80</v>
      </c>
      <c r="G506" s="22" t="s">
        <v>101</v>
      </c>
      <c r="H506" s="5">
        <v>105199.99999999999</v>
      </c>
      <c r="I506" s="22" t="s">
        <v>681</v>
      </c>
      <c r="J506" s="5" t="s">
        <v>102</v>
      </c>
    </row>
    <row r="507" spans="1:10" ht="27.75" customHeight="1">
      <c r="A507" s="27" t="s">
        <v>2087</v>
      </c>
      <c r="B507" s="44" t="s">
        <v>29</v>
      </c>
      <c r="C507" s="22" t="s">
        <v>58</v>
      </c>
      <c r="D507" s="44" t="s">
        <v>2088</v>
      </c>
      <c r="E507" s="22" t="s">
        <v>100</v>
      </c>
      <c r="F507" s="6">
        <v>8</v>
      </c>
      <c r="G507" s="22" t="s">
        <v>101</v>
      </c>
      <c r="H507" s="5">
        <v>199999.99999999997</v>
      </c>
      <c r="I507" s="22" t="s">
        <v>681</v>
      </c>
      <c r="J507" s="5" t="s">
        <v>102</v>
      </c>
    </row>
    <row r="508" spans="1:10" ht="27.75" customHeight="1">
      <c r="A508" s="27" t="s">
        <v>2089</v>
      </c>
      <c r="B508" s="44" t="s">
        <v>427</v>
      </c>
      <c r="C508" s="22" t="s">
        <v>58</v>
      </c>
      <c r="D508" s="44" t="s">
        <v>2090</v>
      </c>
      <c r="E508" s="22" t="s">
        <v>100</v>
      </c>
      <c r="F508" s="6">
        <v>70</v>
      </c>
      <c r="G508" s="22" t="s">
        <v>101</v>
      </c>
      <c r="H508" s="5">
        <v>147000</v>
      </c>
      <c r="I508" s="22" t="s">
        <v>681</v>
      </c>
      <c r="J508" s="5" t="s">
        <v>102</v>
      </c>
    </row>
    <row r="509" spans="1:10" ht="27.75" customHeight="1">
      <c r="A509" s="27" t="s">
        <v>2091</v>
      </c>
      <c r="B509" s="44" t="s">
        <v>399</v>
      </c>
      <c r="C509" s="22" t="s">
        <v>58</v>
      </c>
      <c r="D509" s="44" t="s">
        <v>2092</v>
      </c>
      <c r="E509" s="22" t="s">
        <v>100</v>
      </c>
      <c r="F509" s="6">
        <v>165</v>
      </c>
      <c r="G509" s="22" t="s">
        <v>101</v>
      </c>
      <c r="H509" s="5">
        <f>1963000+528500</f>
        <v>2491500</v>
      </c>
      <c r="I509" s="22" t="s">
        <v>681</v>
      </c>
      <c r="J509" s="5" t="s">
        <v>102</v>
      </c>
    </row>
    <row r="510" spans="1:10" ht="27.75" customHeight="1">
      <c r="A510" s="27" t="s">
        <v>2093</v>
      </c>
      <c r="B510" s="44" t="s">
        <v>18</v>
      </c>
      <c r="C510" s="22" t="s">
        <v>58</v>
      </c>
      <c r="D510" s="44" t="s">
        <v>2094</v>
      </c>
      <c r="E510" s="22" t="s">
        <v>100</v>
      </c>
      <c r="F510" s="6">
        <v>120</v>
      </c>
      <c r="G510" s="22" t="s">
        <v>101</v>
      </c>
      <c r="H510" s="5">
        <f>125000+25000</f>
        <v>150000</v>
      </c>
      <c r="I510" s="22" t="s">
        <v>681</v>
      </c>
      <c r="J510" s="5" t="s">
        <v>102</v>
      </c>
    </row>
    <row r="511" spans="1:10" ht="27.75" customHeight="1">
      <c r="A511" s="27" t="s">
        <v>2095</v>
      </c>
      <c r="B511" s="44" t="s">
        <v>1937</v>
      </c>
      <c r="C511" s="22" t="s">
        <v>58</v>
      </c>
      <c r="D511" s="44" t="s">
        <v>2096</v>
      </c>
      <c r="E511" s="22" t="s">
        <v>100</v>
      </c>
      <c r="F511" s="6">
        <v>2500</v>
      </c>
      <c r="G511" s="22" t="s">
        <v>101</v>
      </c>
      <c r="H511" s="5">
        <v>137500</v>
      </c>
      <c r="I511" s="22" t="s">
        <v>681</v>
      </c>
      <c r="J511" s="5" t="s">
        <v>102</v>
      </c>
    </row>
    <row r="512" spans="1:10" ht="27.75" customHeight="1">
      <c r="A512" s="27" t="s">
        <v>2097</v>
      </c>
      <c r="B512" s="44" t="s">
        <v>2098</v>
      </c>
      <c r="C512" s="22" t="s">
        <v>58</v>
      </c>
      <c r="D512" s="44" t="s">
        <v>2099</v>
      </c>
      <c r="E512" s="22" t="s">
        <v>100</v>
      </c>
      <c r="F512" s="6">
        <v>240</v>
      </c>
      <c r="G512" s="22" t="s">
        <v>101</v>
      </c>
      <c r="H512" s="5">
        <f>220000+44000</f>
        <v>264000</v>
      </c>
      <c r="I512" s="22" t="s">
        <v>681</v>
      </c>
      <c r="J512" s="5" t="s">
        <v>102</v>
      </c>
    </row>
    <row r="513" spans="1:10" ht="27.75" customHeight="1">
      <c r="A513" s="27" t="s">
        <v>2100</v>
      </c>
      <c r="B513" s="44" t="s">
        <v>427</v>
      </c>
      <c r="C513" s="22" t="s">
        <v>58</v>
      </c>
      <c r="D513" s="44" t="s">
        <v>2101</v>
      </c>
      <c r="E513" s="22" t="s">
        <v>100</v>
      </c>
      <c r="F513" s="6">
        <v>70</v>
      </c>
      <c r="G513" s="22" t="s">
        <v>101</v>
      </c>
      <c r="H513" s="5">
        <v>216999.99999999997</v>
      </c>
      <c r="I513" s="22" t="s">
        <v>681</v>
      </c>
      <c r="J513" s="5" t="s">
        <v>102</v>
      </c>
    </row>
    <row r="514" spans="1:10" ht="27.75" customHeight="1">
      <c r="A514" s="27" t="s">
        <v>2102</v>
      </c>
      <c r="B514" s="44" t="s">
        <v>399</v>
      </c>
      <c r="C514" s="22" t="s">
        <v>58</v>
      </c>
      <c r="D514" s="44" t="s">
        <v>2103</v>
      </c>
      <c r="E514" s="22" t="s">
        <v>100</v>
      </c>
      <c r="F514" s="6">
        <v>150</v>
      </c>
      <c r="G514" s="22" t="s">
        <v>101</v>
      </c>
      <c r="H514" s="5">
        <f>1521000+234000</f>
        <v>1755000</v>
      </c>
      <c r="I514" s="22" t="s">
        <v>681</v>
      </c>
      <c r="J514" s="5" t="s">
        <v>102</v>
      </c>
    </row>
    <row r="515" spans="1:10" ht="27.75" customHeight="1">
      <c r="A515" s="27" t="s">
        <v>2104</v>
      </c>
      <c r="B515" s="44" t="s">
        <v>399</v>
      </c>
      <c r="C515" s="22" t="s">
        <v>58</v>
      </c>
      <c r="D515" s="44" t="s">
        <v>2105</v>
      </c>
      <c r="E515" s="22" t="s">
        <v>100</v>
      </c>
      <c r="F515" s="6">
        <v>150</v>
      </c>
      <c r="G515" s="22" t="s">
        <v>101</v>
      </c>
      <c r="H515" s="5">
        <f>1703000+262000</f>
        <v>1965000</v>
      </c>
      <c r="I515" s="22" t="s">
        <v>681</v>
      </c>
      <c r="J515" s="5" t="s">
        <v>102</v>
      </c>
    </row>
    <row r="516" spans="1:10" ht="27.75" customHeight="1">
      <c r="A516" s="27" t="s">
        <v>2106</v>
      </c>
      <c r="B516" s="44" t="s">
        <v>399</v>
      </c>
      <c r="C516" s="22" t="s">
        <v>58</v>
      </c>
      <c r="D516" s="44" t="s">
        <v>2107</v>
      </c>
      <c r="E516" s="22" t="s">
        <v>100</v>
      </c>
      <c r="F516" s="6">
        <v>75</v>
      </c>
      <c r="G516" s="22" t="s">
        <v>101</v>
      </c>
      <c r="H516" s="5">
        <f>580000+290000</f>
        <v>870000</v>
      </c>
      <c r="I516" s="22" t="s">
        <v>681</v>
      </c>
      <c r="J516" s="5" t="s">
        <v>102</v>
      </c>
    </row>
    <row r="517" spans="1:10" ht="27.75" customHeight="1">
      <c r="A517" s="27" t="s">
        <v>2108</v>
      </c>
      <c r="B517" s="44" t="s">
        <v>2109</v>
      </c>
      <c r="C517" s="22" t="s">
        <v>58</v>
      </c>
      <c r="D517" s="44" t="s">
        <v>2110</v>
      </c>
      <c r="E517" s="22" t="s">
        <v>100</v>
      </c>
      <c r="F517" s="6">
        <v>89</v>
      </c>
      <c r="G517" s="22" t="s">
        <v>101</v>
      </c>
      <c r="H517" s="5">
        <f>104000+11700</f>
        <v>115700</v>
      </c>
      <c r="I517" s="22" t="s">
        <v>681</v>
      </c>
      <c r="J517" s="5" t="s">
        <v>102</v>
      </c>
    </row>
    <row r="518" spans="1:10" ht="27.75" customHeight="1">
      <c r="A518" s="27" t="s">
        <v>2111</v>
      </c>
      <c r="B518" s="44" t="s">
        <v>1937</v>
      </c>
      <c r="C518" s="22" t="s">
        <v>58</v>
      </c>
      <c r="D518" s="44" t="s">
        <v>2112</v>
      </c>
      <c r="E518" s="22" t="s">
        <v>100</v>
      </c>
      <c r="F518" s="6">
        <v>1000</v>
      </c>
      <c r="G518" s="22" t="s">
        <v>101</v>
      </c>
      <c r="H518" s="5">
        <v>67000</v>
      </c>
      <c r="I518" s="22" t="s">
        <v>681</v>
      </c>
      <c r="J518" s="5" t="s">
        <v>102</v>
      </c>
    </row>
    <row r="519" spans="1:10" ht="27.75" customHeight="1">
      <c r="A519" s="27" t="s">
        <v>2113</v>
      </c>
      <c r="B519" s="44" t="s">
        <v>399</v>
      </c>
      <c r="C519" s="22" t="s">
        <v>58</v>
      </c>
      <c r="D519" s="44" t="s">
        <v>2114</v>
      </c>
      <c r="E519" s="22" t="s">
        <v>100</v>
      </c>
      <c r="F519" s="6">
        <v>37</v>
      </c>
      <c r="G519" s="22" t="s">
        <v>101</v>
      </c>
      <c r="H519" s="5">
        <f>377500+181200</f>
        <v>558700</v>
      </c>
      <c r="I519" s="22" t="s">
        <v>681</v>
      </c>
      <c r="J519" s="5" t="s">
        <v>102</v>
      </c>
    </row>
    <row r="520" spans="1:10" ht="27.75" customHeight="1">
      <c r="A520" s="27" t="s">
        <v>2115</v>
      </c>
      <c r="B520" s="44" t="s">
        <v>427</v>
      </c>
      <c r="C520" s="22" t="s">
        <v>58</v>
      </c>
      <c r="D520" s="44" t="s">
        <v>2116</v>
      </c>
      <c r="E520" s="22" t="s">
        <v>100</v>
      </c>
      <c r="F520" s="6">
        <v>65</v>
      </c>
      <c r="G520" s="22" t="s">
        <v>101</v>
      </c>
      <c r="H520" s="5">
        <f>632500+115000</f>
        <v>747500</v>
      </c>
      <c r="I520" s="22" t="s">
        <v>681</v>
      </c>
      <c r="J520" s="5" t="s">
        <v>102</v>
      </c>
    </row>
    <row r="521" spans="1:10" ht="27.75" customHeight="1">
      <c r="A521" s="27" t="s">
        <v>2117</v>
      </c>
      <c r="B521" s="44" t="s">
        <v>2118</v>
      </c>
      <c r="C521" s="22" t="s">
        <v>58</v>
      </c>
      <c r="D521" s="44" t="s">
        <v>2119</v>
      </c>
      <c r="E521" s="22" t="s">
        <v>100</v>
      </c>
      <c r="F521" s="6">
        <v>7</v>
      </c>
      <c r="G521" s="22" t="s">
        <v>101</v>
      </c>
      <c r="H521" s="5">
        <v>17500</v>
      </c>
      <c r="I521" s="22" t="s">
        <v>681</v>
      </c>
      <c r="J521" s="5" t="s">
        <v>102</v>
      </c>
    </row>
    <row r="522" spans="1:10" ht="27.75" customHeight="1">
      <c r="A522" s="27" t="s">
        <v>2120</v>
      </c>
      <c r="B522" s="44" t="s">
        <v>386</v>
      </c>
      <c r="C522" s="22" t="s">
        <v>58</v>
      </c>
      <c r="D522" s="44" t="s">
        <v>2121</v>
      </c>
      <c r="E522" s="22" t="s">
        <v>100</v>
      </c>
      <c r="F522" s="6">
        <v>60</v>
      </c>
      <c r="G522" s="22" t="s">
        <v>101</v>
      </c>
      <c r="H522" s="5">
        <v>26399.999999999996</v>
      </c>
      <c r="I522" s="22" t="s">
        <v>681</v>
      </c>
      <c r="J522" s="5" t="s">
        <v>102</v>
      </c>
    </row>
    <row r="523" spans="1:10" ht="27.75" customHeight="1">
      <c r="A523" s="27" t="s">
        <v>2122</v>
      </c>
      <c r="B523" s="44" t="s">
        <v>2123</v>
      </c>
      <c r="C523" s="22" t="s">
        <v>58</v>
      </c>
      <c r="D523" s="44" t="s">
        <v>2124</v>
      </c>
      <c r="E523" s="22" t="s">
        <v>100</v>
      </c>
      <c r="F523" s="6">
        <v>110</v>
      </c>
      <c r="G523" s="22" t="s">
        <v>101</v>
      </c>
      <c r="H523" s="5">
        <v>373999.99999999994</v>
      </c>
      <c r="I523" s="22" t="s">
        <v>681</v>
      </c>
      <c r="J523" s="5" t="s">
        <v>102</v>
      </c>
    </row>
    <row r="524" spans="1:10" ht="27.75" customHeight="1">
      <c r="A524" s="27" t="s">
        <v>2125</v>
      </c>
      <c r="B524" s="44" t="s">
        <v>2123</v>
      </c>
      <c r="C524" s="22" t="s">
        <v>58</v>
      </c>
      <c r="D524" s="44" t="s">
        <v>2126</v>
      </c>
      <c r="E524" s="22" t="s">
        <v>100</v>
      </c>
      <c r="F524" s="6">
        <v>110</v>
      </c>
      <c r="G524" s="22" t="s">
        <v>101</v>
      </c>
      <c r="H524" s="5">
        <v>373999.99999999994</v>
      </c>
      <c r="I524" s="22" t="s">
        <v>681</v>
      </c>
      <c r="J524" s="5" t="s">
        <v>102</v>
      </c>
    </row>
    <row r="525" spans="1:10" ht="45">
      <c r="A525" s="27" t="s">
        <v>2127</v>
      </c>
      <c r="B525" s="44" t="s">
        <v>392</v>
      </c>
      <c r="C525" s="22" t="s">
        <v>58</v>
      </c>
      <c r="D525" s="44" t="s">
        <v>2128</v>
      </c>
      <c r="E525" s="22" t="s">
        <v>100</v>
      </c>
      <c r="F525" s="6">
        <v>10</v>
      </c>
      <c r="G525" s="22" t="s">
        <v>101</v>
      </c>
      <c r="H525" s="5">
        <v>113999.99999999999</v>
      </c>
      <c r="I525" s="22" t="s">
        <v>681</v>
      </c>
      <c r="J525" s="5" t="s">
        <v>102</v>
      </c>
    </row>
    <row r="526" spans="1:10" ht="60">
      <c r="A526" s="27" t="s">
        <v>2129</v>
      </c>
      <c r="B526" s="44" t="s">
        <v>427</v>
      </c>
      <c r="C526" s="22" t="s">
        <v>58</v>
      </c>
      <c r="D526" s="44" t="s">
        <v>2130</v>
      </c>
      <c r="E526" s="22" t="s">
        <v>100</v>
      </c>
      <c r="F526" s="6">
        <v>66</v>
      </c>
      <c r="G526" s="22" t="s">
        <v>101</v>
      </c>
      <c r="H526" s="5">
        <f>744800+133000</f>
        <v>877800</v>
      </c>
      <c r="I526" s="22" t="s">
        <v>681</v>
      </c>
      <c r="J526" s="5" t="s">
        <v>102</v>
      </c>
    </row>
    <row r="527" spans="1:10" ht="75">
      <c r="A527" s="27" t="s">
        <v>2131</v>
      </c>
      <c r="B527" s="44" t="s">
        <v>2132</v>
      </c>
      <c r="C527" s="22" t="s">
        <v>58</v>
      </c>
      <c r="D527" s="44" t="s">
        <v>2133</v>
      </c>
      <c r="E527" s="22" t="s">
        <v>100</v>
      </c>
      <c r="F527" s="6">
        <v>10</v>
      </c>
      <c r="G527" s="22" t="s">
        <v>101</v>
      </c>
      <c r="H527" s="5">
        <v>17857.142857142855</v>
      </c>
      <c r="I527" s="22" t="s">
        <v>681</v>
      </c>
      <c r="J527" s="5" t="s">
        <v>102</v>
      </c>
    </row>
    <row r="528" spans="1:10" ht="90">
      <c r="A528" s="27" t="s">
        <v>2134</v>
      </c>
      <c r="B528" s="44" t="s">
        <v>2135</v>
      </c>
      <c r="C528" s="22" t="s">
        <v>58</v>
      </c>
      <c r="D528" s="44" t="s">
        <v>2136</v>
      </c>
      <c r="E528" s="22" t="s">
        <v>100</v>
      </c>
      <c r="F528" s="6">
        <v>10</v>
      </c>
      <c r="G528" s="22" t="s">
        <v>101</v>
      </c>
      <c r="H528" s="5">
        <v>35714.28571428571</v>
      </c>
      <c r="I528" s="22" t="s">
        <v>681</v>
      </c>
      <c r="J528" s="5" t="s">
        <v>102</v>
      </c>
    </row>
    <row r="529" spans="1:10" ht="60">
      <c r="A529" s="27" t="s">
        <v>2137</v>
      </c>
      <c r="B529" s="44" t="s">
        <v>2138</v>
      </c>
      <c r="C529" s="22" t="s">
        <v>58</v>
      </c>
      <c r="D529" s="44" t="s">
        <v>2139</v>
      </c>
      <c r="E529" s="22" t="s">
        <v>100</v>
      </c>
      <c r="F529" s="6">
        <v>1</v>
      </c>
      <c r="G529" s="22" t="s">
        <v>101</v>
      </c>
      <c r="H529" s="5">
        <v>8928.5714285714275</v>
      </c>
      <c r="I529" s="22" t="s">
        <v>681</v>
      </c>
      <c r="J529" s="5" t="s">
        <v>102</v>
      </c>
    </row>
    <row r="530" spans="1:10" ht="30">
      <c r="A530" s="27" t="s">
        <v>2140</v>
      </c>
      <c r="B530" s="44" t="s">
        <v>2141</v>
      </c>
      <c r="C530" s="22" t="s">
        <v>58</v>
      </c>
      <c r="D530" s="44" t="s">
        <v>2141</v>
      </c>
      <c r="E530" s="22" t="s">
        <v>100</v>
      </c>
      <c r="F530" s="6">
        <v>1</v>
      </c>
      <c r="G530" s="22" t="s">
        <v>101</v>
      </c>
      <c r="H530" s="5">
        <v>29464.28571428571</v>
      </c>
      <c r="I530" s="22" t="s">
        <v>681</v>
      </c>
      <c r="J530" s="5" t="s">
        <v>102</v>
      </c>
    </row>
    <row r="531" spans="1:10" ht="30">
      <c r="A531" s="27" t="s">
        <v>2142</v>
      </c>
      <c r="B531" s="44" t="s">
        <v>2143</v>
      </c>
      <c r="C531" s="22" t="s">
        <v>58</v>
      </c>
      <c r="D531" s="44" t="s">
        <v>2144</v>
      </c>
      <c r="E531" s="22" t="s">
        <v>100</v>
      </c>
      <c r="F531" s="6">
        <v>1</v>
      </c>
      <c r="G531" s="22" t="s">
        <v>101</v>
      </c>
      <c r="H531" s="5">
        <v>37500</v>
      </c>
      <c r="I531" s="22" t="s">
        <v>681</v>
      </c>
      <c r="J531" s="5" t="s">
        <v>102</v>
      </c>
    </row>
    <row r="532" spans="1:10" ht="34.5" customHeight="1">
      <c r="A532" s="27" t="s">
        <v>2145</v>
      </c>
      <c r="B532" s="44" t="s">
        <v>2146</v>
      </c>
      <c r="C532" s="22" t="s">
        <v>58</v>
      </c>
      <c r="D532" s="44" t="s">
        <v>2147</v>
      </c>
      <c r="E532" s="22" t="s">
        <v>100</v>
      </c>
      <c r="F532" s="6">
        <v>2</v>
      </c>
      <c r="G532" s="22" t="s">
        <v>101</v>
      </c>
      <c r="H532" s="5">
        <v>7799.9999999999991</v>
      </c>
      <c r="I532" s="22" t="s">
        <v>681</v>
      </c>
      <c r="J532" s="5" t="s">
        <v>102</v>
      </c>
    </row>
    <row r="533" spans="1:10" ht="60">
      <c r="A533" s="27" t="s">
        <v>2159</v>
      </c>
      <c r="B533" s="22" t="s">
        <v>1013</v>
      </c>
      <c r="C533" s="4" t="s">
        <v>59</v>
      </c>
      <c r="D533" s="22" t="s">
        <v>2160</v>
      </c>
      <c r="E533" s="22" t="s">
        <v>100</v>
      </c>
      <c r="F533" s="22">
        <v>20</v>
      </c>
      <c r="G533" s="22" t="s">
        <v>101</v>
      </c>
      <c r="H533" s="5">
        <v>16964.29</v>
      </c>
      <c r="I533" s="22" t="s">
        <v>681</v>
      </c>
      <c r="J533" s="5" t="s">
        <v>102</v>
      </c>
    </row>
    <row r="534" spans="1:10" ht="75">
      <c r="A534" s="27" t="s">
        <v>2161</v>
      </c>
      <c r="B534" s="22" t="s">
        <v>2162</v>
      </c>
      <c r="C534" s="4" t="s">
        <v>59</v>
      </c>
      <c r="D534" s="22" t="s">
        <v>2163</v>
      </c>
      <c r="E534" s="22" t="s">
        <v>100</v>
      </c>
      <c r="F534" s="22">
        <v>2</v>
      </c>
      <c r="G534" s="22" t="s">
        <v>101</v>
      </c>
      <c r="H534" s="5">
        <v>20785.71</v>
      </c>
      <c r="I534" s="22" t="s">
        <v>681</v>
      </c>
      <c r="J534" s="5" t="s">
        <v>102</v>
      </c>
    </row>
    <row r="535" spans="1:10" ht="30">
      <c r="A535" s="27" t="s">
        <v>3125</v>
      </c>
      <c r="B535" s="22" t="s">
        <v>3126</v>
      </c>
      <c r="C535" s="22" t="s">
        <v>59</v>
      </c>
      <c r="D535" s="22" t="s">
        <v>3127</v>
      </c>
      <c r="E535" s="22" t="s">
        <v>100</v>
      </c>
      <c r="F535" s="22">
        <v>6</v>
      </c>
      <c r="G535" s="22" t="s">
        <v>101</v>
      </c>
      <c r="H535" s="5">
        <v>10714.29</v>
      </c>
      <c r="I535" s="22" t="s">
        <v>679</v>
      </c>
      <c r="J535" s="5" t="s">
        <v>102</v>
      </c>
    </row>
    <row r="536" spans="1:10" ht="30">
      <c r="A536" s="27" t="s">
        <v>3128</v>
      </c>
      <c r="B536" s="22" t="s">
        <v>3129</v>
      </c>
      <c r="C536" s="22" t="s">
        <v>59</v>
      </c>
      <c r="D536" s="22" t="s">
        <v>3130</v>
      </c>
      <c r="E536" s="22" t="s">
        <v>100</v>
      </c>
      <c r="F536" s="22">
        <v>30</v>
      </c>
      <c r="G536" s="22" t="s">
        <v>101</v>
      </c>
      <c r="H536" s="5">
        <v>53571.43</v>
      </c>
      <c r="I536" s="22" t="s">
        <v>679</v>
      </c>
      <c r="J536" s="5" t="s">
        <v>102</v>
      </c>
    </row>
    <row r="537" spans="1:10" ht="30">
      <c r="A537" s="27" t="s">
        <v>3131</v>
      </c>
      <c r="B537" s="22" t="s">
        <v>882</v>
      </c>
      <c r="C537" s="22" t="s">
        <v>59</v>
      </c>
      <c r="D537" s="22" t="s">
        <v>3132</v>
      </c>
      <c r="E537" s="22" t="s">
        <v>100</v>
      </c>
      <c r="F537" s="22">
        <v>5</v>
      </c>
      <c r="G537" s="22" t="s">
        <v>101</v>
      </c>
      <c r="H537" s="5">
        <v>267857.14</v>
      </c>
      <c r="I537" s="22" t="s">
        <v>679</v>
      </c>
      <c r="J537" s="5" t="s">
        <v>102</v>
      </c>
    </row>
    <row r="538" spans="1:10" ht="30">
      <c r="A538" s="27" t="s">
        <v>3133</v>
      </c>
      <c r="B538" s="22" t="s">
        <v>3134</v>
      </c>
      <c r="C538" s="22" t="s">
        <v>59</v>
      </c>
      <c r="D538" s="22" t="s">
        <v>3135</v>
      </c>
      <c r="E538" s="22" t="s">
        <v>100</v>
      </c>
      <c r="F538" s="22">
        <v>1</v>
      </c>
      <c r="G538" s="22" t="s">
        <v>101</v>
      </c>
      <c r="H538" s="5">
        <v>66964.289999999994</v>
      </c>
      <c r="I538" s="22" t="s">
        <v>679</v>
      </c>
      <c r="J538" s="5" t="s">
        <v>102</v>
      </c>
    </row>
    <row r="539" spans="1:10" ht="30">
      <c r="A539" s="27" t="s">
        <v>3136</v>
      </c>
      <c r="B539" s="22" t="s">
        <v>3137</v>
      </c>
      <c r="C539" s="22" t="s">
        <v>58</v>
      </c>
      <c r="D539" s="22" t="s">
        <v>3137</v>
      </c>
      <c r="E539" s="22" t="s">
        <v>100</v>
      </c>
      <c r="F539" s="22">
        <v>25</v>
      </c>
      <c r="G539" s="22" t="s">
        <v>101</v>
      </c>
      <c r="H539" s="5">
        <v>13500</v>
      </c>
      <c r="I539" s="22" t="s">
        <v>679</v>
      </c>
      <c r="J539" s="5" t="s">
        <v>102</v>
      </c>
    </row>
    <row r="540" spans="1:10" ht="30">
      <c r="A540" s="27" t="s">
        <v>3138</v>
      </c>
      <c r="B540" s="22" t="s">
        <v>3139</v>
      </c>
      <c r="C540" s="22" t="s">
        <v>58</v>
      </c>
      <c r="D540" s="22" t="s">
        <v>3139</v>
      </c>
      <c r="E540" s="22" t="s">
        <v>3140</v>
      </c>
      <c r="F540" s="22">
        <v>100</v>
      </c>
      <c r="G540" s="22" t="s">
        <v>101</v>
      </c>
      <c r="H540" s="5">
        <v>15500</v>
      </c>
      <c r="I540" s="22" t="s">
        <v>679</v>
      </c>
      <c r="J540" s="5" t="s">
        <v>102</v>
      </c>
    </row>
    <row r="541" spans="1:10" ht="30">
      <c r="A541" s="27" t="s">
        <v>3141</v>
      </c>
      <c r="B541" s="22" t="s">
        <v>3142</v>
      </c>
      <c r="C541" s="22" t="s">
        <v>58</v>
      </c>
      <c r="D541" s="22" t="s">
        <v>3142</v>
      </c>
      <c r="E541" s="22" t="s">
        <v>100</v>
      </c>
      <c r="F541" s="22">
        <v>5</v>
      </c>
      <c r="G541" s="22" t="s">
        <v>101</v>
      </c>
      <c r="H541" s="5">
        <v>4404000</v>
      </c>
      <c r="I541" s="22" t="s">
        <v>679</v>
      </c>
      <c r="J541" s="5" t="s">
        <v>102</v>
      </c>
    </row>
    <row r="542" spans="1:10" ht="30">
      <c r="A542" s="27" t="s">
        <v>3143</v>
      </c>
      <c r="B542" s="22" t="s">
        <v>3144</v>
      </c>
      <c r="C542" s="22" t="s">
        <v>58</v>
      </c>
      <c r="D542" s="22" t="s">
        <v>3144</v>
      </c>
      <c r="E542" s="22" t="s">
        <v>100</v>
      </c>
      <c r="F542" s="22">
        <v>8</v>
      </c>
      <c r="G542" s="22" t="s">
        <v>101</v>
      </c>
      <c r="H542" s="5">
        <v>48000</v>
      </c>
      <c r="I542" s="22" t="s">
        <v>679</v>
      </c>
      <c r="J542" s="5" t="s">
        <v>102</v>
      </c>
    </row>
    <row r="543" spans="1:10" ht="30">
      <c r="A543" s="27" t="s">
        <v>3145</v>
      </c>
      <c r="B543" s="22" t="s">
        <v>3146</v>
      </c>
      <c r="C543" s="22" t="s">
        <v>58</v>
      </c>
      <c r="D543" s="22" t="s">
        <v>3146</v>
      </c>
      <c r="E543" s="22" t="s">
        <v>100</v>
      </c>
      <c r="F543" s="22">
        <v>5</v>
      </c>
      <c r="G543" s="22" t="s">
        <v>101</v>
      </c>
      <c r="H543" s="5">
        <v>23750</v>
      </c>
      <c r="I543" s="22" t="s">
        <v>679</v>
      </c>
      <c r="J543" s="5" t="s">
        <v>102</v>
      </c>
    </row>
    <row r="544" spans="1:10" ht="30">
      <c r="A544" s="27" t="s">
        <v>3147</v>
      </c>
      <c r="B544" s="22" t="s">
        <v>3148</v>
      </c>
      <c r="C544" s="22" t="s">
        <v>58</v>
      </c>
      <c r="D544" s="22" t="s">
        <v>3148</v>
      </c>
      <c r="E544" s="22" t="s">
        <v>100</v>
      </c>
      <c r="F544" s="22">
        <v>4</v>
      </c>
      <c r="G544" s="22" t="s">
        <v>101</v>
      </c>
      <c r="H544" s="5">
        <v>2000000</v>
      </c>
      <c r="I544" s="22" t="s">
        <v>679</v>
      </c>
      <c r="J544" s="5" t="s">
        <v>102</v>
      </c>
    </row>
    <row r="545" spans="1:10" ht="30">
      <c r="A545" s="27" t="s">
        <v>3149</v>
      </c>
      <c r="B545" s="22" t="s">
        <v>3150</v>
      </c>
      <c r="C545" s="22" t="s">
        <v>58</v>
      </c>
      <c r="D545" s="22" t="s">
        <v>3150</v>
      </c>
      <c r="E545" s="22" t="s">
        <v>100</v>
      </c>
      <c r="F545" s="22">
        <v>20</v>
      </c>
      <c r="G545" s="22" t="s">
        <v>101</v>
      </c>
      <c r="H545" s="5">
        <v>600000</v>
      </c>
      <c r="I545" s="22" t="s">
        <v>679</v>
      </c>
      <c r="J545" s="5" t="s">
        <v>102</v>
      </c>
    </row>
    <row r="546" spans="1:10" ht="30">
      <c r="A546" s="27" t="s">
        <v>3151</v>
      </c>
      <c r="B546" s="22" t="s">
        <v>3152</v>
      </c>
      <c r="C546" s="22" t="s">
        <v>58</v>
      </c>
      <c r="D546" s="22" t="s">
        <v>3152</v>
      </c>
      <c r="E546" s="22" t="s">
        <v>100</v>
      </c>
      <c r="F546" s="22">
        <v>5</v>
      </c>
      <c r="G546" s="22" t="s">
        <v>101</v>
      </c>
      <c r="H546" s="5">
        <v>175000</v>
      </c>
      <c r="I546" s="22" t="s">
        <v>679</v>
      </c>
      <c r="J546" s="5" t="s">
        <v>102</v>
      </c>
    </row>
    <row r="547" spans="1:10" ht="30">
      <c r="A547" s="27" t="s">
        <v>3170</v>
      </c>
      <c r="B547" s="22" t="s">
        <v>3171</v>
      </c>
      <c r="C547" s="22" t="s">
        <v>60</v>
      </c>
      <c r="D547" s="22" t="s">
        <v>3171</v>
      </c>
      <c r="E547" s="22" t="s">
        <v>100</v>
      </c>
      <c r="F547" s="22">
        <v>1</v>
      </c>
      <c r="G547" s="22" t="s">
        <v>101</v>
      </c>
      <c r="H547" s="5">
        <v>119241</v>
      </c>
      <c r="I547" s="22" t="s">
        <v>678</v>
      </c>
      <c r="J547" s="5" t="s">
        <v>102</v>
      </c>
    </row>
    <row r="548" spans="1:10" ht="30">
      <c r="A548" s="27" t="s">
        <v>3183</v>
      </c>
      <c r="B548" s="22" t="s">
        <v>883</v>
      </c>
      <c r="C548" s="4" t="s">
        <v>60</v>
      </c>
      <c r="D548" s="22" t="s">
        <v>883</v>
      </c>
      <c r="E548" s="22" t="s">
        <v>100</v>
      </c>
      <c r="F548" s="22">
        <v>1</v>
      </c>
      <c r="G548" s="22" t="s">
        <v>101</v>
      </c>
      <c r="H548" s="35">
        <v>53571.43</v>
      </c>
      <c r="I548" s="22" t="s">
        <v>678</v>
      </c>
      <c r="J548" s="5" t="s">
        <v>102</v>
      </c>
    </row>
    <row r="549" spans="1:10" ht="30">
      <c r="A549" s="27" t="s">
        <v>3184</v>
      </c>
      <c r="B549" s="22" t="s">
        <v>3185</v>
      </c>
      <c r="C549" s="22" t="s">
        <v>59</v>
      </c>
      <c r="D549" s="22" t="s">
        <v>3185</v>
      </c>
      <c r="E549" s="22" t="s">
        <v>100</v>
      </c>
      <c r="F549" s="22">
        <v>2</v>
      </c>
      <c r="G549" s="22" t="s">
        <v>101</v>
      </c>
      <c r="H549" s="5">
        <v>0</v>
      </c>
      <c r="I549" s="22" t="s">
        <v>678</v>
      </c>
      <c r="J549" s="5" t="s">
        <v>102</v>
      </c>
    </row>
    <row r="550" spans="1:10" ht="45">
      <c r="A550" s="27" t="s">
        <v>3186</v>
      </c>
      <c r="B550" s="22" t="s">
        <v>3187</v>
      </c>
      <c r="C550" s="22" t="s">
        <v>59</v>
      </c>
      <c r="D550" s="22" t="s">
        <v>3187</v>
      </c>
      <c r="E550" s="22" t="s">
        <v>100</v>
      </c>
      <c r="F550" s="22">
        <v>1</v>
      </c>
      <c r="G550" s="22" t="s">
        <v>101</v>
      </c>
      <c r="H550" s="5">
        <v>0</v>
      </c>
      <c r="I550" s="22" t="s">
        <v>678</v>
      </c>
      <c r="J550" s="5" t="s">
        <v>102</v>
      </c>
    </row>
    <row r="551" spans="1:10" ht="30">
      <c r="A551" s="27" t="s">
        <v>3192</v>
      </c>
      <c r="B551" s="22" t="s">
        <v>3193</v>
      </c>
      <c r="C551" s="4" t="s">
        <v>59</v>
      </c>
      <c r="D551" s="22" t="s">
        <v>3193</v>
      </c>
      <c r="E551" s="22" t="s">
        <v>100</v>
      </c>
      <c r="F551" s="22">
        <v>34</v>
      </c>
      <c r="G551" s="22" t="s">
        <v>101</v>
      </c>
      <c r="H551" s="35">
        <v>990583.93</v>
      </c>
      <c r="I551" s="22" t="s">
        <v>678</v>
      </c>
      <c r="J551" s="5" t="s">
        <v>102</v>
      </c>
    </row>
    <row r="552" spans="1:10" ht="30">
      <c r="A552" s="27" t="s">
        <v>3199</v>
      </c>
      <c r="B552" s="22" t="s">
        <v>3200</v>
      </c>
      <c r="C552" s="22" t="s">
        <v>60</v>
      </c>
      <c r="D552" s="22" t="s">
        <v>3200</v>
      </c>
      <c r="E552" s="22" t="s">
        <v>100</v>
      </c>
      <c r="F552" s="22">
        <v>3</v>
      </c>
      <c r="G552" s="22" t="s">
        <v>101</v>
      </c>
      <c r="H552" s="5">
        <v>60000</v>
      </c>
      <c r="I552" s="22" t="s">
        <v>679</v>
      </c>
      <c r="J552" s="5" t="s">
        <v>102</v>
      </c>
    </row>
    <row r="553" spans="1:10" ht="30">
      <c r="A553" s="27" t="s">
        <v>3203</v>
      </c>
      <c r="B553" s="22" t="s">
        <v>3204</v>
      </c>
      <c r="C553" s="22" t="s">
        <v>60</v>
      </c>
      <c r="D553" s="22" t="s">
        <v>3204</v>
      </c>
      <c r="E553" s="22" t="s">
        <v>100</v>
      </c>
      <c r="F553" s="22">
        <v>1</v>
      </c>
      <c r="G553" s="22" t="s">
        <v>101</v>
      </c>
      <c r="H553" s="5">
        <v>320000</v>
      </c>
      <c r="I553" s="22" t="s">
        <v>679</v>
      </c>
      <c r="J553" s="5" t="s">
        <v>102</v>
      </c>
    </row>
    <row r="554" spans="1:10" ht="30">
      <c r="A554" s="27" t="s">
        <v>3205</v>
      </c>
      <c r="B554" s="36" t="s">
        <v>3206</v>
      </c>
      <c r="C554" s="22" t="s">
        <v>60</v>
      </c>
      <c r="D554" s="22" t="s">
        <v>3206</v>
      </c>
      <c r="E554" s="22" t="s">
        <v>100</v>
      </c>
      <c r="F554" s="6">
        <v>1</v>
      </c>
      <c r="G554" s="22" t="s">
        <v>101</v>
      </c>
      <c r="H554" s="5">
        <v>23000</v>
      </c>
      <c r="I554" s="22" t="s">
        <v>679</v>
      </c>
      <c r="J554" s="5" t="s">
        <v>102</v>
      </c>
    </row>
    <row r="555" spans="1:10" ht="30">
      <c r="A555" s="27" t="s">
        <v>3207</v>
      </c>
      <c r="B555" s="22" t="s">
        <v>3208</v>
      </c>
      <c r="C555" s="22" t="s">
        <v>60</v>
      </c>
      <c r="D555" s="22" t="s">
        <v>3208</v>
      </c>
      <c r="E555" s="22" t="s">
        <v>179</v>
      </c>
      <c r="F555" s="6">
        <v>40</v>
      </c>
      <c r="G555" s="22" t="s">
        <v>101</v>
      </c>
      <c r="H555" s="5">
        <v>180000</v>
      </c>
      <c r="I555" s="22" t="s">
        <v>679</v>
      </c>
      <c r="J555" s="5" t="s">
        <v>102</v>
      </c>
    </row>
    <row r="556" spans="1:10" ht="30">
      <c r="A556" s="27" t="s">
        <v>3209</v>
      </c>
      <c r="B556" s="22" t="s">
        <v>3210</v>
      </c>
      <c r="C556" s="22" t="s">
        <v>59</v>
      </c>
      <c r="D556" s="22" t="s">
        <v>3210</v>
      </c>
      <c r="E556" s="22" t="s">
        <v>100</v>
      </c>
      <c r="F556" s="6">
        <v>131</v>
      </c>
      <c r="G556" s="22" t="s">
        <v>101</v>
      </c>
      <c r="H556" s="5">
        <v>458500</v>
      </c>
      <c r="I556" s="22" t="s">
        <v>679</v>
      </c>
      <c r="J556" s="5" t="s">
        <v>102</v>
      </c>
    </row>
    <row r="557" spans="1:10" ht="30">
      <c r="A557" s="27" t="s">
        <v>3211</v>
      </c>
      <c r="B557" s="22" t="s">
        <v>3212</v>
      </c>
      <c r="C557" s="22" t="s">
        <v>60</v>
      </c>
      <c r="D557" s="22" t="s">
        <v>3212</v>
      </c>
      <c r="E557" s="22" t="s">
        <v>100</v>
      </c>
      <c r="F557" s="22">
        <v>1</v>
      </c>
      <c r="G557" s="22" t="s">
        <v>101</v>
      </c>
      <c r="H557" s="5">
        <v>5357.14</v>
      </c>
      <c r="I557" s="22" t="s">
        <v>679</v>
      </c>
      <c r="J557" s="5" t="s">
        <v>102</v>
      </c>
    </row>
    <row r="558" spans="1:10" ht="30">
      <c r="A558" s="27" t="s">
        <v>3213</v>
      </c>
      <c r="B558" s="22" t="s">
        <v>3214</v>
      </c>
      <c r="C558" s="22" t="s">
        <v>60</v>
      </c>
      <c r="D558" s="22" t="s">
        <v>3214</v>
      </c>
      <c r="E558" s="22" t="s">
        <v>100</v>
      </c>
      <c r="F558" s="6">
        <v>1</v>
      </c>
      <c r="G558" s="22" t="s">
        <v>101</v>
      </c>
      <c r="H558" s="5">
        <v>5357.14</v>
      </c>
      <c r="I558" s="22" t="s">
        <v>679</v>
      </c>
      <c r="J558" s="5" t="s">
        <v>102</v>
      </c>
    </row>
    <row r="559" spans="1:10" ht="45">
      <c r="A559" s="48" t="s">
        <v>3241</v>
      </c>
      <c r="B559" s="22" t="s">
        <v>909</v>
      </c>
      <c r="C559" s="4" t="s">
        <v>60</v>
      </c>
      <c r="D559" s="22" t="s">
        <v>3242</v>
      </c>
      <c r="E559" s="22" t="s">
        <v>100</v>
      </c>
      <c r="F559" s="22">
        <v>1</v>
      </c>
      <c r="G559" s="22" t="s">
        <v>101</v>
      </c>
      <c r="H559" s="5">
        <v>111607.14</v>
      </c>
      <c r="I559" s="22" t="s">
        <v>679</v>
      </c>
      <c r="J559" s="5" t="s">
        <v>102</v>
      </c>
    </row>
    <row r="560" spans="1:10" ht="30">
      <c r="A560" s="48" t="s">
        <v>3243</v>
      </c>
      <c r="B560" s="22" t="s">
        <v>3244</v>
      </c>
      <c r="C560" s="4" t="s">
        <v>59</v>
      </c>
      <c r="D560" s="22" t="s">
        <v>3244</v>
      </c>
      <c r="E560" s="22" t="s">
        <v>100</v>
      </c>
      <c r="F560" s="22">
        <v>1</v>
      </c>
      <c r="G560" s="22" t="s">
        <v>101</v>
      </c>
      <c r="H560" s="5">
        <v>93600</v>
      </c>
      <c r="I560" s="22" t="s">
        <v>679</v>
      </c>
      <c r="J560" s="5" t="s">
        <v>102</v>
      </c>
    </row>
    <row r="561" spans="1:10" ht="30">
      <c r="A561" s="48" t="s">
        <v>3245</v>
      </c>
      <c r="B561" s="22" t="s">
        <v>3246</v>
      </c>
      <c r="C561" s="4" t="s">
        <v>59</v>
      </c>
      <c r="D561" s="22" t="s">
        <v>3246</v>
      </c>
      <c r="E561" s="22" t="s">
        <v>100</v>
      </c>
      <c r="F561" s="22">
        <v>1</v>
      </c>
      <c r="G561" s="22" t="s">
        <v>101</v>
      </c>
      <c r="H561" s="5">
        <v>139300</v>
      </c>
      <c r="I561" s="22" t="s">
        <v>679</v>
      </c>
      <c r="J561" s="5" t="s">
        <v>102</v>
      </c>
    </row>
    <row r="562" spans="1:10" ht="30">
      <c r="A562" s="48" t="s">
        <v>3247</v>
      </c>
      <c r="B562" s="22" t="s">
        <v>3248</v>
      </c>
      <c r="C562" s="4" t="s">
        <v>59</v>
      </c>
      <c r="D562" s="22" t="s">
        <v>3248</v>
      </c>
      <c r="E562" s="22" t="s">
        <v>100</v>
      </c>
      <c r="F562" s="22">
        <v>1</v>
      </c>
      <c r="G562" s="22" t="s">
        <v>101</v>
      </c>
      <c r="H562" s="5">
        <v>269200</v>
      </c>
      <c r="I562" s="22" t="s">
        <v>679</v>
      </c>
      <c r="J562" s="5" t="s">
        <v>102</v>
      </c>
    </row>
    <row r="563" spans="1:10" ht="30">
      <c r="A563" s="48" t="s">
        <v>3249</v>
      </c>
      <c r="B563" s="22" t="s">
        <v>3250</v>
      </c>
      <c r="C563" s="4" t="s">
        <v>59</v>
      </c>
      <c r="D563" s="22" t="s">
        <v>3250</v>
      </c>
      <c r="E563" s="22" t="s">
        <v>100</v>
      </c>
      <c r="F563" s="22">
        <v>1</v>
      </c>
      <c r="G563" s="22" t="s">
        <v>101</v>
      </c>
      <c r="H563" s="5">
        <v>49600</v>
      </c>
      <c r="I563" s="22" t="s">
        <v>679</v>
      </c>
      <c r="J563" s="5" t="s">
        <v>102</v>
      </c>
    </row>
    <row r="564" spans="1:10" ht="30">
      <c r="A564" s="48" t="s">
        <v>3251</v>
      </c>
      <c r="B564" s="22" t="s">
        <v>3252</v>
      </c>
      <c r="C564" s="4" t="s">
        <v>59</v>
      </c>
      <c r="D564" s="22" t="s">
        <v>3252</v>
      </c>
      <c r="E564" s="22" t="s">
        <v>100</v>
      </c>
      <c r="F564" s="22">
        <v>1</v>
      </c>
      <c r="G564" s="22" t="s">
        <v>101</v>
      </c>
      <c r="H564" s="5">
        <v>48179</v>
      </c>
      <c r="I564" s="22" t="s">
        <v>679</v>
      </c>
      <c r="J564" s="5" t="s">
        <v>102</v>
      </c>
    </row>
    <row r="565" spans="1:10" ht="30">
      <c r="A565" s="48" t="s">
        <v>3253</v>
      </c>
      <c r="B565" s="22" t="s">
        <v>3254</v>
      </c>
      <c r="C565" s="4" t="s">
        <v>59</v>
      </c>
      <c r="D565" s="22" t="s">
        <v>3254</v>
      </c>
      <c r="E565" s="22" t="s">
        <v>100</v>
      </c>
      <c r="F565" s="22">
        <v>1</v>
      </c>
      <c r="G565" s="22" t="s">
        <v>101</v>
      </c>
      <c r="H565" s="5">
        <v>76786</v>
      </c>
      <c r="I565" s="22" t="s">
        <v>679</v>
      </c>
      <c r="J565" s="5" t="s">
        <v>102</v>
      </c>
    </row>
    <row r="566" spans="1:10" ht="30">
      <c r="A566" s="48" t="s">
        <v>3255</v>
      </c>
      <c r="B566" s="22" t="s">
        <v>3256</v>
      </c>
      <c r="C566" s="4" t="s">
        <v>59</v>
      </c>
      <c r="D566" s="22" t="s">
        <v>3256</v>
      </c>
      <c r="E566" s="22" t="s">
        <v>100</v>
      </c>
      <c r="F566" s="22">
        <v>1</v>
      </c>
      <c r="G566" s="22" t="s">
        <v>101</v>
      </c>
      <c r="H566" s="5">
        <v>28900</v>
      </c>
      <c r="I566" s="22" t="s">
        <v>679</v>
      </c>
      <c r="J566" s="5" t="s">
        <v>102</v>
      </c>
    </row>
    <row r="567" spans="1:10" ht="30">
      <c r="A567" s="48" t="s">
        <v>3257</v>
      </c>
      <c r="B567" s="22" t="s">
        <v>3258</v>
      </c>
      <c r="C567" s="4" t="s">
        <v>59</v>
      </c>
      <c r="D567" s="22" t="s">
        <v>3258</v>
      </c>
      <c r="E567" s="22" t="s">
        <v>100</v>
      </c>
      <c r="F567" s="22">
        <v>1</v>
      </c>
      <c r="G567" s="22" t="s">
        <v>101</v>
      </c>
      <c r="H567" s="5">
        <v>26920</v>
      </c>
      <c r="I567" s="22" t="s">
        <v>679</v>
      </c>
      <c r="J567" s="5" t="s">
        <v>102</v>
      </c>
    </row>
    <row r="568" spans="1:10" ht="30">
      <c r="A568" s="48" t="s">
        <v>3259</v>
      </c>
      <c r="B568" s="22" t="s">
        <v>3260</v>
      </c>
      <c r="C568" s="4" t="s">
        <v>59</v>
      </c>
      <c r="D568" s="22" t="s">
        <v>3260</v>
      </c>
      <c r="E568" s="22" t="s">
        <v>100</v>
      </c>
      <c r="F568" s="22">
        <v>1</v>
      </c>
      <c r="G568" s="22" t="s">
        <v>101</v>
      </c>
      <c r="H568" s="5">
        <v>62000</v>
      </c>
      <c r="I568" s="22" t="s">
        <v>679</v>
      </c>
      <c r="J568" s="5" t="s">
        <v>102</v>
      </c>
    </row>
    <row r="569" spans="1:10" ht="30">
      <c r="A569" s="48" t="s">
        <v>3261</v>
      </c>
      <c r="B569" s="22" t="s">
        <v>3262</v>
      </c>
      <c r="C569" s="4" t="s">
        <v>59</v>
      </c>
      <c r="D569" s="22" t="s">
        <v>3262</v>
      </c>
      <c r="E569" s="22" t="s">
        <v>100</v>
      </c>
      <c r="F569" s="22">
        <v>1</v>
      </c>
      <c r="G569" s="22" t="s">
        <v>101</v>
      </c>
      <c r="H569" s="5">
        <v>23400</v>
      </c>
      <c r="I569" s="22" t="s">
        <v>679</v>
      </c>
      <c r="J569" s="5" t="s">
        <v>102</v>
      </c>
    </row>
    <row r="570" spans="1:10" ht="30">
      <c r="A570" s="48" t="s">
        <v>3263</v>
      </c>
      <c r="B570" s="22" t="s">
        <v>386</v>
      </c>
      <c r="C570" s="4" t="s">
        <v>59</v>
      </c>
      <c r="D570" s="22" t="s">
        <v>386</v>
      </c>
      <c r="E570" s="22" t="s">
        <v>100</v>
      </c>
      <c r="F570" s="22">
        <v>10</v>
      </c>
      <c r="G570" s="22" t="s">
        <v>101</v>
      </c>
      <c r="H570" s="5">
        <v>12610</v>
      </c>
      <c r="I570" s="22" t="s">
        <v>679</v>
      </c>
      <c r="J570" s="5" t="s">
        <v>102</v>
      </c>
    </row>
    <row r="571" spans="1:10" ht="30">
      <c r="A571" s="48" t="s">
        <v>3264</v>
      </c>
      <c r="B571" s="22" t="s">
        <v>386</v>
      </c>
      <c r="C571" s="4" t="s">
        <v>59</v>
      </c>
      <c r="D571" s="22" t="s">
        <v>386</v>
      </c>
      <c r="E571" s="22" t="s">
        <v>100</v>
      </c>
      <c r="F571" s="22">
        <v>40</v>
      </c>
      <c r="G571" s="22" t="s">
        <v>101</v>
      </c>
      <c r="H571" s="5">
        <v>10400</v>
      </c>
      <c r="I571" s="22" t="s">
        <v>679</v>
      </c>
      <c r="J571" s="5" t="s">
        <v>102</v>
      </c>
    </row>
    <row r="572" spans="1:10" ht="30">
      <c r="A572" s="48" t="s">
        <v>3265</v>
      </c>
      <c r="B572" s="22" t="s">
        <v>3266</v>
      </c>
      <c r="C572" s="4" t="s">
        <v>59</v>
      </c>
      <c r="D572" s="22" t="s">
        <v>3266</v>
      </c>
      <c r="E572" s="22" t="s">
        <v>100</v>
      </c>
      <c r="F572" s="6">
        <v>10</v>
      </c>
      <c r="G572" s="22" t="s">
        <v>101</v>
      </c>
      <c r="H572" s="5">
        <v>16500</v>
      </c>
      <c r="I572" s="22" t="s">
        <v>679</v>
      </c>
      <c r="J572" s="5" t="s">
        <v>102</v>
      </c>
    </row>
    <row r="573" spans="1:10" ht="30">
      <c r="A573" s="48" t="s">
        <v>3267</v>
      </c>
      <c r="B573" s="22" t="s">
        <v>3268</v>
      </c>
      <c r="C573" s="4" t="s">
        <v>59</v>
      </c>
      <c r="D573" s="22" t="s">
        <v>3268</v>
      </c>
      <c r="E573" s="22" t="s">
        <v>100</v>
      </c>
      <c r="F573" s="6">
        <v>1</v>
      </c>
      <c r="G573" s="22" t="s">
        <v>101</v>
      </c>
      <c r="H573" s="5">
        <v>266890</v>
      </c>
      <c r="I573" s="22" t="s">
        <v>679</v>
      </c>
      <c r="J573" s="5" t="s">
        <v>102</v>
      </c>
    </row>
    <row r="574" spans="1:10" ht="30">
      <c r="A574" s="48" t="s">
        <v>3269</v>
      </c>
      <c r="B574" s="22" t="s">
        <v>3270</v>
      </c>
      <c r="C574" s="4" t="s">
        <v>59</v>
      </c>
      <c r="D574" s="22" t="s">
        <v>3270</v>
      </c>
      <c r="E574" s="22" t="s">
        <v>100</v>
      </c>
      <c r="F574" s="6">
        <v>1</v>
      </c>
      <c r="G574" s="22" t="s">
        <v>101</v>
      </c>
      <c r="H574" s="5">
        <v>36900</v>
      </c>
      <c r="I574" s="22" t="s">
        <v>679</v>
      </c>
      <c r="J574" s="5" t="s">
        <v>102</v>
      </c>
    </row>
    <row r="575" spans="1:10" ht="30">
      <c r="A575" s="48" t="s">
        <v>3271</v>
      </c>
      <c r="B575" s="22" t="s">
        <v>3272</v>
      </c>
      <c r="C575" s="4" t="s">
        <v>59</v>
      </c>
      <c r="D575" s="22" t="s">
        <v>3272</v>
      </c>
      <c r="E575" s="22" t="s">
        <v>100</v>
      </c>
      <c r="F575" s="6">
        <v>1</v>
      </c>
      <c r="G575" s="22" t="s">
        <v>101</v>
      </c>
      <c r="H575" s="5">
        <v>29300</v>
      </c>
      <c r="I575" s="22" t="s">
        <v>679</v>
      </c>
      <c r="J575" s="5" t="s">
        <v>102</v>
      </c>
    </row>
    <row r="576" spans="1:10" ht="30">
      <c r="A576" s="48" t="s">
        <v>3273</v>
      </c>
      <c r="B576" s="22" t="s">
        <v>3274</v>
      </c>
      <c r="C576" s="4" t="s">
        <v>59</v>
      </c>
      <c r="D576" s="22" t="s">
        <v>3274</v>
      </c>
      <c r="E576" s="22" t="s">
        <v>100</v>
      </c>
      <c r="F576" s="6">
        <v>1</v>
      </c>
      <c r="G576" s="22" t="s">
        <v>101</v>
      </c>
      <c r="H576" s="5">
        <v>76300</v>
      </c>
      <c r="I576" s="22" t="s">
        <v>679</v>
      </c>
      <c r="J576" s="5" t="s">
        <v>102</v>
      </c>
    </row>
    <row r="577" spans="1:10" ht="30">
      <c r="A577" s="48" t="s">
        <v>3275</v>
      </c>
      <c r="B577" s="22" t="s">
        <v>3276</v>
      </c>
      <c r="C577" s="4" t="s">
        <v>59</v>
      </c>
      <c r="D577" s="22" t="s">
        <v>3276</v>
      </c>
      <c r="E577" s="22" t="s">
        <v>100</v>
      </c>
      <c r="F577" s="6">
        <v>1</v>
      </c>
      <c r="G577" s="22" t="s">
        <v>101</v>
      </c>
      <c r="H577" s="5">
        <v>372000</v>
      </c>
      <c r="I577" s="22" t="s">
        <v>679</v>
      </c>
      <c r="J577" s="5" t="s">
        <v>102</v>
      </c>
    </row>
    <row r="578" spans="1:10" ht="30">
      <c r="A578" s="48" t="s">
        <v>3277</v>
      </c>
      <c r="B578" s="22" t="s">
        <v>3278</v>
      </c>
      <c r="C578" s="4" t="s">
        <v>59</v>
      </c>
      <c r="D578" s="22" t="s">
        <v>3278</v>
      </c>
      <c r="E578" s="22" t="s">
        <v>100</v>
      </c>
      <c r="F578" s="6">
        <v>1</v>
      </c>
      <c r="G578" s="22" t="s">
        <v>101</v>
      </c>
      <c r="H578" s="5">
        <v>132000</v>
      </c>
      <c r="I578" s="22" t="s">
        <v>679</v>
      </c>
      <c r="J578" s="5" t="s">
        <v>102</v>
      </c>
    </row>
    <row r="579" spans="1:10" ht="30">
      <c r="A579" s="48" t="s">
        <v>3279</v>
      </c>
      <c r="B579" s="22" t="s">
        <v>3280</v>
      </c>
      <c r="C579" s="4" t="s">
        <v>59</v>
      </c>
      <c r="D579" s="22" t="s">
        <v>3280</v>
      </c>
      <c r="E579" s="22" t="s">
        <v>100</v>
      </c>
      <c r="F579" s="6">
        <v>1</v>
      </c>
      <c r="G579" s="22" t="s">
        <v>101</v>
      </c>
      <c r="H579" s="5">
        <v>69300</v>
      </c>
      <c r="I579" s="22" t="s">
        <v>679</v>
      </c>
      <c r="J579" s="5" t="s">
        <v>102</v>
      </c>
    </row>
    <row r="580" spans="1:10" ht="30">
      <c r="A580" s="48" t="s">
        <v>3281</v>
      </c>
      <c r="B580" s="22" t="s">
        <v>3282</v>
      </c>
      <c r="C580" s="4" t="s">
        <v>59</v>
      </c>
      <c r="D580" s="22" t="s">
        <v>3282</v>
      </c>
      <c r="E580" s="22" t="s">
        <v>100</v>
      </c>
      <c r="F580" s="6">
        <v>1</v>
      </c>
      <c r="G580" s="22" t="s">
        <v>101</v>
      </c>
      <c r="H580" s="5">
        <v>83100</v>
      </c>
      <c r="I580" s="22" t="s">
        <v>679</v>
      </c>
      <c r="J580" s="5" t="s">
        <v>102</v>
      </c>
    </row>
    <row r="581" spans="1:10" ht="30">
      <c r="A581" s="48" t="s">
        <v>3283</v>
      </c>
      <c r="B581" s="22" t="s">
        <v>3284</v>
      </c>
      <c r="C581" s="4" t="s">
        <v>59</v>
      </c>
      <c r="D581" s="22" t="s">
        <v>3284</v>
      </c>
      <c r="E581" s="22" t="s">
        <v>100</v>
      </c>
      <c r="F581" s="6">
        <v>1</v>
      </c>
      <c r="G581" s="22" t="s">
        <v>101</v>
      </c>
      <c r="H581" s="5">
        <v>198000</v>
      </c>
      <c r="I581" s="22" t="s">
        <v>679</v>
      </c>
      <c r="J581" s="5" t="s">
        <v>102</v>
      </c>
    </row>
    <row r="582" spans="1:10" ht="30">
      <c r="A582" s="48" t="s">
        <v>3285</v>
      </c>
      <c r="B582" s="22" t="s">
        <v>3286</v>
      </c>
      <c r="C582" s="4" t="s">
        <v>59</v>
      </c>
      <c r="D582" s="22" t="s">
        <v>3286</v>
      </c>
      <c r="E582" s="22" t="s">
        <v>100</v>
      </c>
      <c r="F582" s="6">
        <v>10</v>
      </c>
      <c r="G582" s="22" t="s">
        <v>101</v>
      </c>
      <c r="H582" s="5">
        <v>80000</v>
      </c>
      <c r="I582" s="22" t="s">
        <v>679</v>
      </c>
      <c r="J582" s="5" t="s">
        <v>102</v>
      </c>
    </row>
    <row r="583" spans="1:10" ht="30">
      <c r="A583" s="48" t="s">
        <v>3287</v>
      </c>
      <c r="B583" s="22" t="s">
        <v>3288</v>
      </c>
      <c r="C583" s="4" t="s">
        <v>59</v>
      </c>
      <c r="D583" s="22" t="s">
        <v>3288</v>
      </c>
      <c r="E583" s="22" t="s">
        <v>100</v>
      </c>
      <c r="F583" s="6">
        <v>1</v>
      </c>
      <c r="G583" s="22" t="s">
        <v>101</v>
      </c>
      <c r="H583" s="5">
        <v>9000</v>
      </c>
      <c r="I583" s="22" t="s">
        <v>679</v>
      </c>
      <c r="J583" s="5" t="s">
        <v>102</v>
      </c>
    </row>
    <row r="584" spans="1:10" ht="30">
      <c r="A584" s="48" t="s">
        <v>3289</v>
      </c>
      <c r="B584" s="22" t="s">
        <v>3290</v>
      </c>
      <c r="C584" s="4" t="s">
        <v>59</v>
      </c>
      <c r="D584" s="22" t="s">
        <v>3290</v>
      </c>
      <c r="E584" s="22" t="s">
        <v>100</v>
      </c>
      <c r="F584" s="6">
        <v>30</v>
      </c>
      <c r="G584" s="22" t="s">
        <v>101</v>
      </c>
      <c r="H584" s="5">
        <v>6720</v>
      </c>
      <c r="I584" s="22" t="s">
        <v>679</v>
      </c>
      <c r="J584" s="5" t="s">
        <v>102</v>
      </c>
    </row>
    <row r="585" spans="1:10" ht="30">
      <c r="A585" s="48" t="s">
        <v>3291</v>
      </c>
      <c r="B585" s="22" t="s">
        <v>3292</v>
      </c>
      <c r="C585" s="4" t="s">
        <v>59</v>
      </c>
      <c r="D585" s="22" t="s">
        <v>3292</v>
      </c>
      <c r="E585" s="22" t="s">
        <v>3293</v>
      </c>
      <c r="F585" s="6">
        <v>6</v>
      </c>
      <c r="G585" s="22" t="s">
        <v>101</v>
      </c>
      <c r="H585" s="5">
        <v>27858</v>
      </c>
      <c r="I585" s="22" t="s">
        <v>679</v>
      </c>
      <c r="J585" s="5" t="s">
        <v>102</v>
      </c>
    </row>
    <row r="586" spans="1:10" ht="30">
      <c r="A586" s="48" t="s">
        <v>3294</v>
      </c>
      <c r="B586" s="22" t="s">
        <v>3295</v>
      </c>
      <c r="C586" s="4" t="s">
        <v>59</v>
      </c>
      <c r="D586" s="22" t="s">
        <v>3295</v>
      </c>
      <c r="E586" s="22" t="s">
        <v>3293</v>
      </c>
      <c r="F586" s="6">
        <v>1</v>
      </c>
      <c r="G586" s="22" t="s">
        <v>101</v>
      </c>
      <c r="H586" s="5">
        <v>3572</v>
      </c>
      <c r="I586" s="22" t="s">
        <v>679</v>
      </c>
      <c r="J586" s="5" t="s">
        <v>102</v>
      </c>
    </row>
    <row r="587" spans="1:10" ht="30">
      <c r="A587" s="48" t="s">
        <v>3296</v>
      </c>
      <c r="B587" s="22" t="s">
        <v>3297</v>
      </c>
      <c r="C587" s="4" t="s">
        <v>59</v>
      </c>
      <c r="D587" s="22" t="s">
        <v>3297</v>
      </c>
      <c r="E587" s="22" t="s">
        <v>100</v>
      </c>
      <c r="F587" s="6">
        <v>2</v>
      </c>
      <c r="G587" s="22" t="s">
        <v>101</v>
      </c>
      <c r="H587" s="5">
        <v>217858</v>
      </c>
      <c r="I587" s="22" t="s">
        <v>679</v>
      </c>
      <c r="J587" s="5" t="s">
        <v>102</v>
      </c>
    </row>
    <row r="588" spans="1:10" ht="30">
      <c r="A588" s="48" t="s">
        <v>3298</v>
      </c>
      <c r="B588" s="22" t="s">
        <v>3299</v>
      </c>
      <c r="C588" s="4" t="s">
        <v>59</v>
      </c>
      <c r="D588" s="22" t="s">
        <v>3299</v>
      </c>
      <c r="E588" s="22" t="s">
        <v>100</v>
      </c>
      <c r="F588" s="6">
        <v>2</v>
      </c>
      <c r="G588" s="22" t="s">
        <v>101</v>
      </c>
      <c r="H588" s="5">
        <v>33930</v>
      </c>
      <c r="I588" s="22" t="s">
        <v>679</v>
      </c>
      <c r="J588" s="5" t="s">
        <v>102</v>
      </c>
    </row>
    <row r="589" spans="1:10" ht="30">
      <c r="A589" s="48" t="s">
        <v>3300</v>
      </c>
      <c r="B589" s="22" t="s">
        <v>3301</v>
      </c>
      <c r="C589" s="4" t="s">
        <v>59</v>
      </c>
      <c r="D589" s="22" t="s">
        <v>3301</v>
      </c>
      <c r="E589" s="22" t="s">
        <v>100</v>
      </c>
      <c r="F589" s="6">
        <v>2</v>
      </c>
      <c r="G589" s="22" t="s">
        <v>101</v>
      </c>
      <c r="H589" s="5">
        <v>835716</v>
      </c>
      <c r="I589" s="22" t="s">
        <v>679</v>
      </c>
      <c r="J589" s="5" t="s">
        <v>102</v>
      </c>
    </row>
    <row r="590" spans="1:10" ht="30">
      <c r="A590" s="48" t="s">
        <v>3302</v>
      </c>
      <c r="B590" s="22" t="s">
        <v>3303</v>
      </c>
      <c r="C590" s="4" t="s">
        <v>59</v>
      </c>
      <c r="D590" s="22" t="s">
        <v>3303</v>
      </c>
      <c r="E590" s="22" t="s">
        <v>100</v>
      </c>
      <c r="F590" s="6">
        <v>230</v>
      </c>
      <c r="G590" s="22" t="s">
        <v>101</v>
      </c>
      <c r="H590" s="5">
        <v>308200</v>
      </c>
      <c r="I590" s="22" t="s">
        <v>679</v>
      </c>
      <c r="J590" s="5" t="s">
        <v>102</v>
      </c>
    </row>
    <row r="591" spans="1:10" ht="30">
      <c r="A591" s="48" t="s">
        <v>3304</v>
      </c>
      <c r="B591" s="22" t="s">
        <v>3305</v>
      </c>
      <c r="C591" s="4" t="s">
        <v>59</v>
      </c>
      <c r="D591" s="22" t="s">
        <v>3305</v>
      </c>
      <c r="E591" s="22" t="s">
        <v>100</v>
      </c>
      <c r="F591" s="6">
        <v>200</v>
      </c>
      <c r="G591" s="22" t="s">
        <v>101</v>
      </c>
      <c r="H591" s="5">
        <v>314400</v>
      </c>
      <c r="I591" s="22" t="s">
        <v>679</v>
      </c>
      <c r="J591" s="5" t="s">
        <v>102</v>
      </c>
    </row>
    <row r="592" spans="1:10" ht="30">
      <c r="A592" s="48" t="s">
        <v>3306</v>
      </c>
      <c r="B592" s="22" t="s">
        <v>3307</v>
      </c>
      <c r="C592" s="4" t="s">
        <v>59</v>
      </c>
      <c r="D592" s="22" t="s">
        <v>3307</v>
      </c>
      <c r="E592" s="22" t="s">
        <v>100</v>
      </c>
      <c r="F592" s="6">
        <v>20</v>
      </c>
      <c r="G592" s="22" t="s">
        <v>101</v>
      </c>
      <c r="H592" s="5">
        <v>44660</v>
      </c>
      <c r="I592" s="22" t="s">
        <v>679</v>
      </c>
      <c r="J592" s="5" t="s">
        <v>102</v>
      </c>
    </row>
    <row r="593" spans="1:10" ht="30">
      <c r="A593" s="48" t="s">
        <v>3308</v>
      </c>
      <c r="B593" s="22" t="s">
        <v>3309</v>
      </c>
      <c r="C593" s="4" t="s">
        <v>59</v>
      </c>
      <c r="D593" s="22" t="s">
        <v>3309</v>
      </c>
      <c r="E593" s="22" t="s">
        <v>100</v>
      </c>
      <c r="F593" s="6">
        <v>4</v>
      </c>
      <c r="G593" s="22" t="s">
        <v>101</v>
      </c>
      <c r="H593" s="5">
        <v>7500</v>
      </c>
      <c r="I593" s="22" t="s">
        <v>679</v>
      </c>
      <c r="J593" s="5" t="s">
        <v>102</v>
      </c>
    </row>
    <row r="594" spans="1:10" ht="30">
      <c r="A594" s="48" t="s">
        <v>3310</v>
      </c>
      <c r="B594" s="22" t="s">
        <v>3311</v>
      </c>
      <c r="C594" s="4" t="s">
        <v>59</v>
      </c>
      <c r="D594" s="22" t="s">
        <v>3311</v>
      </c>
      <c r="E594" s="22" t="s">
        <v>100</v>
      </c>
      <c r="F594" s="6">
        <v>20</v>
      </c>
      <c r="G594" s="22" t="s">
        <v>101</v>
      </c>
      <c r="H594" s="5">
        <v>26800</v>
      </c>
      <c r="I594" s="22" t="s">
        <v>679</v>
      </c>
      <c r="J594" s="5" t="s">
        <v>102</v>
      </c>
    </row>
    <row r="595" spans="1:10" ht="45">
      <c r="A595" s="48" t="s">
        <v>3312</v>
      </c>
      <c r="B595" s="22" t="s">
        <v>3313</v>
      </c>
      <c r="C595" s="4" t="s">
        <v>59</v>
      </c>
      <c r="D595" s="22" t="s">
        <v>3313</v>
      </c>
      <c r="E595" s="22" t="s">
        <v>3293</v>
      </c>
      <c r="F595" s="6">
        <v>5</v>
      </c>
      <c r="G595" s="22" t="s">
        <v>101</v>
      </c>
      <c r="H595" s="5">
        <v>895</v>
      </c>
      <c r="I595" s="22" t="s">
        <v>679</v>
      </c>
      <c r="J595" s="5" t="s">
        <v>102</v>
      </c>
    </row>
    <row r="596" spans="1:10" ht="45">
      <c r="A596" s="48" t="s">
        <v>3314</v>
      </c>
      <c r="B596" s="22" t="s">
        <v>3315</v>
      </c>
      <c r="C596" s="4" t="s">
        <v>59</v>
      </c>
      <c r="D596" s="22" t="s">
        <v>3315</v>
      </c>
      <c r="E596" s="22" t="s">
        <v>100</v>
      </c>
      <c r="F596" s="6">
        <v>10</v>
      </c>
      <c r="G596" s="22" t="s">
        <v>101</v>
      </c>
      <c r="H596" s="5">
        <v>2330</v>
      </c>
      <c r="I596" s="22" t="s">
        <v>679</v>
      </c>
      <c r="J596" s="5" t="s">
        <v>102</v>
      </c>
    </row>
    <row r="597" spans="1:10" ht="30">
      <c r="A597" s="48" t="s">
        <v>3316</v>
      </c>
      <c r="B597" s="22" t="s">
        <v>3317</v>
      </c>
      <c r="C597" s="4" t="s">
        <v>59</v>
      </c>
      <c r="D597" s="22" t="s">
        <v>3317</v>
      </c>
      <c r="E597" s="22" t="s">
        <v>3140</v>
      </c>
      <c r="F597" s="6">
        <v>170</v>
      </c>
      <c r="G597" s="22" t="s">
        <v>101</v>
      </c>
      <c r="H597" s="5">
        <v>334050</v>
      </c>
      <c r="I597" s="22" t="s">
        <v>679</v>
      </c>
      <c r="J597" s="5" t="s">
        <v>102</v>
      </c>
    </row>
    <row r="598" spans="1:10" ht="30">
      <c r="A598" s="48" t="s">
        <v>3318</v>
      </c>
      <c r="B598" s="22" t="s">
        <v>3319</v>
      </c>
      <c r="C598" s="4" t="s">
        <v>59</v>
      </c>
      <c r="D598" s="22" t="s">
        <v>3319</v>
      </c>
      <c r="E598" s="22" t="s">
        <v>100</v>
      </c>
      <c r="F598" s="6">
        <v>4</v>
      </c>
      <c r="G598" s="22" t="s">
        <v>101</v>
      </c>
      <c r="H598" s="5">
        <v>24288</v>
      </c>
      <c r="I598" s="22" t="s">
        <v>679</v>
      </c>
      <c r="J598" s="5" t="s">
        <v>102</v>
      </c>
    </row>
    <row r="599" spans="1:10" ht="30">
      <c r="A599" s="48" t="s">
        <v>3320</v>
      </c>
      <c r="B599" s="22" t="s">
        <v>3321</v>
      </c>
      <c r="C599" s="4" t="s">
        <v>59</v>
      </c>
      <c r="D599" s="22" t="s">
        <v>3321</v>
      </c>
      <c r="E599" s="22" t="s">
        <v>100</v>
      </c>
      <c r="F599" s="6">
        <v>10</v>
      </c>
      <c r="G599" s="22" t="s">
        <v>101</v>
      </c>
      <c r="H599" s="5">
        <v>7150</v>
      </c>
      <c r="I599" s="22" t="s">
        <v>679</v>
      </c>
      <c r="J599" s="5" t="s">
        <v>102</v>
      </c>
    </row>
    <row r="600" spans="1:10" ht="30">
      <c r="A600" s="48" t="s">
        <v>3322</v>
      </c>
      <c r="B600" s="22" t="s">
        <v>3323</v>
      </c>
      <c r="C600" s="4" t="s">
        <v>59</v>
      </c>
      <c r="D600" s="22" t="s">
        <v>3323</v>
      </c>
      <c r="E600" s="22" t="s">
        <v>100</v>
      </c>
      <c r="F600" s="6">
        <v>1</v>
      </c>
      <c r="G600" s="22" t="s">
        <v>101</v>
      </c>
      <c r="H600" s="5">
        <v>40317</v>
      </c>
      <c r="I600" s="22" t="s">
        <v>679</v>
      </c>
      <c r="J600" s="5" t="s">
        <v>102</v>
      </c>
    </row>
    <row r="601" spans="1:10" ht="30">
      <c r="A601" s="48" t="s">
        <v>3324</v>
      </c>
      <c r="B601" s="22" t="s">
        <v>3325</v>
      </c>
      <c r="C601" s="4" t="s">
        <v>59</v>
      </c>
      <c r="D601" s="22" t="s">
        <v>3325</v>
      </c>
      <c r="E601" s="22" t="s">
        <v>100</v>
      </c>
      <c r="F601" s="6">
        <v>150</v>
      </c>
      <c r="G601" s="22" t="s">
        <v>101</v>
      </c>
      <c r="H601" s="5">
        <v>4500</v>
      </c>
      <c r="I601" s="22" t="s">
        <v>679</v>
      </c>
      <c r="J601" s="5" t="s">
        <v>102</v>
      </c>
    </row>
    <row r="602" spans="1:10" ht="30">
      <c r="A602" s="48" t="s">
        <v>3326</v>
      </c>
      <c r="B602" s="22" t="s">
        <v>3325</v>
      </c>
      <c r="C602" s="4" t="s">
        <v>59</v>
      </c>
      <c r="D602" s="22" t="s">
        <v>3325</v>
      </c>
      <c r="E602" s="22" t="s">
        <v>100</v>
      </c>
      <c r="F602" s="6">
        <v>75</v>
      </c>
      <c r="G602" s="22" t="s">
        <v>101</v>
      </c>
      <c r="H602" s="5">
        <v>3750</v>
      </c>
      <c r="I602" s="22" t="s">
        <v>679</v>
      </c>
      <c r="J602" s="5" t="s">
        <v>102</v>
      </c>
    </row>
    <row r="603" spans="1:10" ht="30">
      <c r="A603" s="48" t="s">
        <v>3349</v>
      </c>
      <c r="B603" s="22" t="s">
        <v>3350</v>
      </c>
      <c r="C603" s="22" t="s">
        <v>3351</v>
      </c>
      <c r="D603" s="22" t="s">
        <v>3352</v>
      </c>
      <c r="E603" s="22" t="s">
        <v>100</v>
      </c>
      <c r="F603" s="6">
        <v>1</v>
      </c>
      <c r="G603" s="22" t="s">
        <v>101</v>
      </c>
      <c r="H603" s="5">
        <v>7900</v>
      </c>
      <c r="I603" s="22" t="s">
        <v>680</v>
      </c>
      <c r="J603" s="5" t="s">
        <v>102</v>
      </c>
    </row>
    <row r="604" spans="1:10" ht="30">
      <c r="A604" s="48" t="s">
        <v>3372</v>
      </c>
      <c r="B604" s="22" t="s">
        <v>3373</v>
      </c>
      <c r="C604" s="22" t="s">
        <v>59</v>
      </c>
      <c r="D604" s="22" t="s">
        <v>3373</v>
      </c>
      <c r="E604" s="22" t="s">
        <v>100</v>
      </c>
      <c r="F604" s="6">
        <v>15</v>
      </c>
      <c r="G604" s="22" t="s">
        <v>101</v>
      </c>
      <c r="H604" s="5">
        <v>200892.86</v>
      </c>
      <c r="I604" s="22" t="s">
        <v>680</v>
      </c>
      <c r="J604" s="5" t="s">
        <v>102</v>
      </c>
    </row>
    <row r="605" spans="1:10" ht="30">
      <c r="A605" s="48" t="s">
        <v>3410</v>
      </c>
      <c r="B605" s="22" t="s">
        <v>3411</v>
      </c>
      <c r="C605" s="22" t="s">
        <v>60</v>
      </c>
      <c r="D605" s="22" t="s">
        <v>3411</v>
      </c>
      <c r="E605" s="22" t="s">
        <v>100</v>
      </c>
      <c r="F605" s="6">
        <v>3</v>
      </c>
      <c r="G605" s="22" t="s">
        <v>101</v>
      </c>
      <c r="H605" s="5">
        <v>16800</v>
      </c>
      <c r="I605" s="22" t="s">
        <v>680</v>
      </c>
      <c r="J605" s="5" t="s">
        <v>102</v>
      </c>
    </row>
    <row r="606" spans="1:10" ht="28.5">
      <c r="A606" s="27" t="s">
        <v>1495</v>
      </c>
      <c r="B606" s="12" t="s">
        <v>384</v>
      </c>
      <c r="C606" s="4" t="s">
        <v>578</v>
      </c>
      <c r="D606" s="3" t="s">
        <v>384</v>
      </c>
      <c r="E606" s="4" t="s">
        <v>578</v>
      </c>
      <c r="F606" s="4" t="s">
        <v>578</v>
      </c>
      <c r="G606" s="4" t="s">
        <v>101</v>
      </c>
      <c r="H606" s="13">
        <f>SUM(H607:H627)</f>
        <v>25524121.501428574</v>
      </c>
      <c r="I606" s="22" t="s">
        <v>578</v>
      </c>
      <c r="J606" s="5" t="s">
        <v>102</v>
      </c>
    </row>
    <row r="607" spans="1:10" ht="30">
      <c r="A607" s="48" t="s">
        <v>1496</v>
      </c>
      <c r="B607" s="22" t="s">
        <v>602</v>
      </c>
      <c r="C607" s="22" t="s">
        <v>58</v>
      </c>
      <c r="D607" s="22" t="s">
        <v>1048</v>
      </c>
      <c r="E607" s="22" t="s">
        <v>608</v>
      </c>
      <c r="F607" s="6">
        <v>1</v>
      </c>
      <c r="G607" s="22" t="s">
        <v>1037</v>
      </c>
      <c r="H607" s="5">
        <v>3132000</v>
      </c>
      <c r="I607" s="22" t="s">
        <v>681</v>
      </c>
      <c r="J607" s="5" t="s">
        <v>102</v>
      </c>
    </row>
    <row r="608" spans="1:10" ht="30">
      <c r="A608" s="48" t="s">
        <v>1497</v>
      </c>
      <c r="B608" s="22" t="s">
        <v>602</v>
      </c>
      <c r="C608" s="22" t="s">
        <v>58</v>
      </c>
      <c r="D608" s="22" t="s">
        <v>1048</v>
      </c>
      <c r="E608" s="22" t="s">
        <v>608</v>
      </c>
      <c r="F608" s="6">
        <v>1</v>
      </c>
      <c r="G608" s="22" t="s">
        <v>211</v>
      </c>
      <c r="H608" s="5">
        <v>777600</v>
      </c>
      <c r="I608" s="22" t="s">
        <v>681</v>
      </c>
      <c r="J608" s="5" t="s">
        <v>102</v>
      </c>
    </row>
    <row r="609" spans="1:10" ht="30">
      <c r="A609" s="48" t="s">
        <v>1498</v>
      </c>
      <c r="B609" s="22" t="s">
        <v>602</v>
      </c>
      <c r="C609" s="22" t="s">
        <v>58</v>
      </c>
      <c r="D609" s="22" t="s">
        <v>1048</v>
      </c>
      <c r="E609" s="22" t="s">
        <v>608</v>
      </c>
      <c r="F609" s="6">
        <v>1</v>
      </c>
      <c r="G609" s="22" t="s">
        <v>1038</v>
      </c>
      <c r="H609" s="5">
        <v>496800</v>
      </c>
      <c r="I609" s="22" t="s">
        <v>681</v>
      </c>
      <c r="J609" s="5" t="s">
        <v>102</v>
      </c>
    </row>
    <row r="610" spans="1:10" ht="30">
      <c r="A610" s="48" t="s">
        <v>1499</v>
      </c>
      <c r="B610" s="22" t="s">
        <v>602</v>
      </c>
      <c r="C610" s="22" t="s">
        <v>58</v>
      </c>
      <c r="D610" s="22" t="s">
        <v>1048</v>
      </c>
      <c r="E610" s="22" t="s">
        <v>608</v>
      </c>
      <c r="F610" s="6">
        <v>1</v>
      </c>
      <c r="G610" s="22" t="s">
        <v>1039</v>
      </c>
      <c r="H610" s="5">
        <v>604800</v>
      </c>
      <c r="I610" s="22" t="s">
        <v>681</v>
      </c>
      <c r="J610" s="5" t="s">
        <v>102</v>
      </c>
    </row>
    <row r="611" spans="1:10" ht="30">
      <c r="A611" s="48" t="s">
        <v>1500</v>
      </c>
      <c r="B611" s="22" t="s">
        <v>602</v>
      </c>
      <c r="C611" s="22" t="s">
        <v>58</v>
      </c>
      <c r="D611" s="22" t="s">
        <v>1048</v>
      </c>
      <c r="E611" s="22" t="s">
        <v>608</v>
      </c>
      <c r="F611" s="6">
        <v>1</v>
      </c>
      <c r="G611" s="22" t="s">
        <v>1040</v>
      </c>
      <c r="H611" s="5">
        <v>518400</v>
      </c>
      <c r="I611" s="22" t="s">
        <v>681</v>
      </c>
      <c r="J611" s="5" t="s">
        <v>102</v>
      </c>
    </row>
    <row r="612" spans="1:10" ht="30">
      <c r="A612" s="48" t="s">
        <v>1501</v>
      </c>
      <c r="B612" s="22" t="s">
        <v>602</v>
      </c>
      <c r="C612" s="22" t="s">
        <v>58</v>
      </c>
      <c r="D612" s="22" t="s">
        <v>1048</v>
      </c>
      <c r="E612" s="22" t="s">
        <v>608</v>
      </c>
      <c r="F612" s="6">
        <v>1</v>
      </c>
      <c r="G612" s="22" t="s">
        <v>1041</v>
      </c>
      <c r="H612" s="5">
        <f>648000-116071.43</f>
        <v>531928.57000000007</v>
      </c>
      <c r="I612" s="22" t="s">
        <v>681</v>
      </c>
      <c r="J612" s="5" t="s">
        <v>102</v>
      </c>
    </row>
    <row r="613" spans="1:10" ht="30">
      <c r="A613" s="48" t="s">
        <v>1502</v>
      </c>
      <c r="B613" s="22" t="s">
        <v>602</v>
      </c>
      <c r="C613" s="22" t="s">
        <v>58</v>
      </c>
      <c r="D613" s="22" t="s">
        <v>1048</v>
      </c>
      <c r="E613" s="22" t="s">
        <v>608</v>
      </c>
      <c r="F613" s="6">
        <v>1</v>
      </c>
      <c r="G613" s="22" t="s">
        <v>220</v>
      </c>
      <c r="H613" s="5">
        <v>1123200</v>
      </c>
      <c r="I613" s="22" t="s">
        <v>681</v>
      </c>
      <c r="J613" s="5" t="s">
        <v>102</v>
      </c>
    </row>
    <row r="614" spans="1:10" ht="30">
      <c r="A614" s="48" t="s">
        <v>1503</v>
      </c>
      <c r="B614" s="22" t="s">
        <v>602</v>
      </c>
      <c r="C614" s="22" t="s">
        <v>58</v>
      </c>
      <c r="D614" s="22" t="s">
        <v>1048</v>
      </c>
      <c r="E614" s="22" t="s">
        <v>608</v>
      </c>
      <c r="F614" s="6">
        <v>1</v>
      </c>
      <c r="G614" s="22" t="s">
        <v>251</v>
      </c>
      <c r="H614" s="5">
        <v>259200</v>
      </c>
      <c r="I614" s="22" t="s">
        <v>681</v>
      </c>
      <c r="J614" s="5" t="s">
        <v>102</v>
      </c>
    </row>
    <row r="615" spans="1:10" ht="30">
      <c r="A615" s="48" t="s">
        <v>1504</v>
      </c>
      <c r="B615" s="22" t="s">
        <v>602</v>
      </c>
      <c r="C615" s="22" t="s">
        <v>58</v>
      </c>
      <c r="D615" s="22" t="s">
        <v>1048</v>
      </c>
      <c r="E615" s="22" t="s">
        <v>608</v>
      </c>
      <c r="F615" s="6">
        <v>1</v>
      </c>
      <c r="G615" s="22" t="s">
        <v>1042</v>
      </c>
      <c r="H615" s="5">
        <v>712800</v>
      </c>
      <c r="I615" s="22" t="s">
        <v>681</v>
      </c>
      <c r="J615" s="5" t="s">
        <v>102</v>
      </c>
    </row>
    <row r="616" spans="1:10" ht="30">
      <c r="A616" s="48" t="s">
        <v>1505</v>
      </c>
      <c r="B616" s="22" t="s">
        <v>602</v>
      </c>
      <c r="C616" s="22" t="s">
        <v>58</v>
      </c>
      <c r="D616" s="22" t="s">
        <v>1048</v>
      </c>
      <c r="E616" s="22" t="s">
        <v>608</v>
      </c>
      <c r="F616" s="6">
        <v>1</v>
      </c>
      <c r="G616" s="22" t="s">
        <v>252</v>
      </c>
      <c r="H616" s="5">
        <v>172800</v>
      </c>
      <c r="I616" s="22" t="s">
        <v>681</v>
      </c>
      <c r="J616" s="5" t="s">
        <v>102</v>
      </c>
    </row>
    <row r="617" spans="1:10" ht="45">
      <c r="A617" s="48" t="s">
        <v>1506</v>
      </c>
      <c r="B617" s="22" t="s">
        <v>602</v>
      </c>
      <c r="C617" s="22" t="s">
        <v>58</v>
      </c>
      <c r="D617" s="22" t="s">
        <v>1048</v>
      </c>
      <c r="E617" s="22" t="s">
        <v>608</v>
      </c>
      <c r="F617" s="6">
        <v>1</v>
      </c>
      <c r="G617" s="22" t="s">
        <v>1043</v>
      </c>
      <c r="H617" s="5">
        <v>604800</v>
      </c>
      <c r="I617" s="22" t="s">
        <v>681</v>
      </c>
      <c r="J617" s="5" t="s">
        <v>102</v>
      </c>
    </row>
    <row r="618" spans="1:10" ht="30">
      <c r="A618" s="48" t="s">
        <v>1507</v>
      </c>
      <c r="B618" s="22" t="s">
        <v>602</v>
      </c>
      <c r="C618" s="22" t="s">
        <v>58</v>
      </c>
      <c r="D618" s="22" t="s">
        <v>1048</v>
      </c>
      <c r="E618" s="22" t="s">
        <v>608</v>
      </c>
      <c r="F618" s="6">
        <v>1</v>
      </c>
      <c r="G618" s="22" t="s">
        <v>1044</v>
      </c>
      <c r="H618" s="5">
        <v>540000</v>
      </c>
      <c r="I618" s="22" t="s">
        <v>681</v>
      </c>
      <c r="J618" s="5" t="s">
        <v>102</v>
      </c>
    </row>
    <row r="619" spans="1:10" ht="30">
      <c r="A619" s="48" t="s">
        <v>1508</v>
      </c>
      <c r="B619" s="22" t="s">
        <v>602</v>
      </c>
      <c r="C619" s="22" t="s">
        <v>58</v>
      </c>
      <c r="D619" s="22" t="s">
        <v>1048</v>
      </c>
      <c r="E619" s="22" t="s">
        <v>608</v>
      </c>
      <c r="F619" s="6">
        <v>1</v>
      </c>
      <c r="G619" s="22" t="s">
        <v>1045</v>
      </c>
      <c r="H619" s="5">
        <v>496800</v>
      </c>
      <c r="I619" s="22" t="s">
        <v>681</v>
      </c>
      <c r="J619" s="5" t="s">
        <v>102</v>
      </c>
    </row>
    <row r="620" spans="1:10" ht="45">
      <c r="A620" s="48" t="s">
        <v>1509</v>
      </c>
      <c r="B620" s="22" t="s">
        <v>602</v>
      </c>
      <c r="C620" s="22" t="s">
        <v>58</v>
      </c>
      <c r="D620" s="22" t="s">
        <v>1048</v>
      </c>
      <c r="E620" s="22" t="s">
        <v>608</v>
      </c>
      <c r="F620" s="6">
        <v>1</v>
      </c>
      <c r="G620" s="22" t="s">
        <v>278</v>
      </c>
      <c r="H620" s="5">
        <v>518400</v>
      </c>
      <c r="I620" s="22" t="s">
        <v>681</v>
      </c>
      <c r="J620" s="5" t="s">
        <v>102</v>
      </c>
    </row>
    <row r="621" spans="1:10" ht="30">
      <c r="A621" s="48" t="s">
        <v>1510</v>
      </c>
      <c r="B621" s="22" t="s">
        <v>602</v>
      </c>
      <c r="C621" s="22" t="s">
        <v>58</v>
      </c>
      <c r="D621" s="22" t="s">
        <v>1048</v>
      </c>
      <c r="E621" s="22" t="s">
        <v>608</v>
      </c>
      <c r="F621" s="6">
        <v>1</v>
      </c>
      <c r="G621" s="22" t="s">
        <v>1046</v>
      </c>
      <c r="H621" s="5">
        <f>561600-9200</f>
        <v>552400</v>
      </c>
      <c r="I621" s="22" t="s">
        <v>681</v>
      </c>
      <c r="J621" s="5" t="s">
        <v>102</v>
      </c>
    </row>
    <row r="622" spans="1:10" ht="75">
      <c r="A622" s="19" t="s">
        <v>3220</v>
      </c>
      <c r="B622" s="22" t="s">
        <v>3221</v>
      </c>
      <c r="C622" s="22" t="s">
        <v>60</v>
      </c>
      <c r="D622" s="22" t="s">
        <v>3355</v>
      </c>
      <c r="E622" s="22" t="s">
        <v>100</v>
      </c>
      <c r="F622" s="14">
        <v>2</v>
      </c>
      <c r="G622" s="22" t="s">
        <v>1046</v>
      </c>
      <c r="H622" s="5">
        <v>9200</v>
      </c>
      <c r="I622" s="22" t="s">
        <v>680</v>
      </c>
      <c r="J622" s="5" t="s">
        <v>102</v>
      </c>
    </row>
    <row r="623" spans="1:10" ht="30">
      <c r="A623" s="48" t="s">
        <v>1511</v>
      </c>
      <c r="B623" s="22" t="s">
        <v>602</v>
      </c>
      <c r="C623" s="22" t="s">
        <v>58</v>
      </c>
      <c r="D623" s="22" t="s">
        <v>1048</v>
      </c>
      <c r="E623" s="22" t="s">
        <v>608</v>
      </c>
      <c r="F623" s="6">
        <v>1</v>
      </c>
      <c r="G623" s="22" t="s">
        <v>229</v>
      </c>
      <c r="H623" s="5">
        <v>691200</v>
      </c>
      <c r="I623" s="22" t="s">
        <v>681</v>
      </c>
      <c r="J623" s="5" t="s">
        <v>102</v>
      </c>
    </row>
    <row r="624" spans="1:10" ht="45">
      <c r="A624" s="48" t="s">
        <v>1512</v>
      </c>
      <c r="B624" s="22" t="s">
        <v>602</v>
      </c>
      <c r="C624" s="22" t="s">
        <v>58</v>
      </c>
      <c r="D624" s="22" t="s">
        <v>1048</v>
      </c>
      <c r="E624" s="22" t="s">
        <v>608</v>
      </c>
      <c r="F624" s="6">
        <v>1</v>
      </c>
      <c r="G624" s="22" t="s">
        <v>1047</v>
      </c>
      <c r="H624" s="5">
        <v>604800</v>
      </c>
      <c r="I624" s="22" t="s">
        <v>681</v>
      </c>
      <c r="J624" s="5" t="s">
        <v>102</v>
      </c>
    </row>
    <row r="625" spans="1:10" ht="30">
      <c r="A625" s="48" t="s">
        <v>1513</v>
      </c>
      <c r="B625" s="22" t="s">
        <v>602</v>
      </c>
      <c r="C625" s="22" t="s">
        <v>58</v>
      </c>
      <c r="D625" s="22" t="s">
        <v>1048</v>
      </c>
      <c r="E625" s="22" t="s">
        <v>608</v>
      </c>
      <c r="F625" s="6">
        <v>1</v>
      </c>
      <c r="G625" s="22" t="s">
        <v>385</v>
      </c>
      <c r="H625" s="5">
        <v>669600</v>
      </c>
      <c r="I625" s="22" t="s">
        <v>681</v>
      </c>
      <c r="J625" s="5" t="s">
        <v>102</v>
      </c>
    </row>
    <row r="626" spans="1:10" ht="30">
      <c r="A626" s="48" t="s">
        <v>1514</v>
      </c>
      <c r="B626" s="22" t="s">
        <v>602</v>
      </c>
      <c r="C626" s="22" t="s">
        <v>58</v>
      </c>
      <c r="D626" s="22" t="s">
        <v>1049</v>
      </c>
      <c r="E626" s="22" t="s">
        <v>608</v>
      </c>
      <c r="F626" s="6">
        <v>1</v>
      </c>
      <c r="G626" s="22" t="s">
        <v>125</v>
      </c>
      <c r="H626" s="5">
        <v>12391321.501428572</v>
      </c>
      <c r="I626" s="22" t="s">
        <v>681</v>
      </c>
      <c r="J626" s="5" t="s">
        <v>102</v>
      </c>
    </row>
    <row r="627" spans="1:10" ht="30">
      <c r="A627" s="48" t="s">
        <v>3327</v>
      </c>
      <c r="B627" s="22" t="s">
        <v>3328</v>
      </c>
      <c r="C627" s="4" t="s">
        <v>59</v>
      </c>
      <c r="D627" s="22" t="s">
        <v>3328</v>
      </c>
      <c r="E627" s="22" t="s">
        <v>100</v>
      </c>
      <c r="F627" s="6">
        <v>1</v>
      </c>
      <c r="G627" s="22" t="s">
        <v>1041</v>
      </c>
      <c r="H627" s="5">
        <v>116071.43</v>
      </c>
      <c r="I627" s="22" t="s">
        <v>679</v>
      </c>
      <c r="J627" s="5" t="s">
        <v>102</v>
      </c>
    </row>
    <row r="628" spans="1:10">
      <c r="A628" s="27" t="s">
        <v>1515</v>
      </c>
      <c r="B628" s="12" t="s">
        <v>441</v>
      </c>
      <c r="C628" s="4" t="s">
        <v>578</v>
      </c>
      <c r="D628" s="3" t="s">
        <v>441</v>
      </c>
      <c r="E628" s="4" t="s">
        <v>578</v>
      </c>
      <c r="F628" s="4" t="s">
        <v>578</v>
      </c>
      <c r="G628" s="4" t="s">
        <v>101</v>
      </c>
      <c r="H628" s="13">
        <f>SUM(H629:H715)</f>
        <v>7798284.2014285736</v>
      </c>
      <c r="I628" s="22" t="s">
        <v>578</v>
      </c>
      <c r="J628" s="5" t="s">
        <v>102</v>
      </c>
    </row>
    <row r="629" spans="1:10" ht="30">
      <c r="A629" s="27" t="s">
        <v>1516</v>
      </c>
      <c r="B629" s="3" t="s">
        <v>603</v>
      </c>
      <c r="C629" s="3" t="s">
        <v>58</v>
      </c>
      <c r="D629" s="3" t="s">
        <v>1059</v>
      </c>
      <c r="E629" s="3" t="s">
        <v>604</v>
      </c>
      <c r="F629" s="3">
        <v>10</v>
      </c>
      <c r="G629" s="3" t="s">
        <v>101</v>
      </c>
      <c r="H629" s="5">
        <v>15000</v>
      </c>
      <c r="I629" s="22" t="s">
        <v>681</v>
      </c>
      <c r="J629" s="5" t="s">
        <v>102</v>
      </c>
    </row>
    <row r="630" spans="1:10" ht="30">
      <c r="A630" s="27" t="s">
        <v>1517</v>
      </c>
      <c r="B630" s="3" t="s">
        <v>603</v>
      </c>
      <c r="C630" s="3" t="s">
        <v>58</v>
      </c>
      <c r="D630" s="3" t="s">
        <v>1060</v>
      </c>
      <c r="E630" s="22" t="s">
        <v>604</v>
      </c>
      <c r="F630" s="3">
        <v>350</v>
      </c>
      <c r="G630" s="3" t="s">
        <v>101</v>
      </c>
      <c r="H630" s="5">
        <f>111000+92500+1123200-944622.25</f>
        <v>382077.75</v>
      </c>
      <c r="I630" s="22" t="s">
        <v>681</v>
      </c>
      <c r="J630" s="5" t="s">
        <v>102</v>
      </c>
    </row>
    <row r="631" spans="1:10" ht="30">
      <c r="A631" s="27" t="s">
        <v>1518</v>
      </c>
      <c r="B631" s="3" t="s">
        <v>436</v>
      </c>
      <c r="C631" s="3" t="s">
        <v>58</v>
      </c>
      <c r="D631" s="3" t="s">
        <v>1050</v>
      </c>
      <c r="E631" s="3" t="s">
        <v>100</v>
      </c>
      <c r="F631" s="3">
        <v>6</v>
      </c>
      <c r="G631" s="3" t="s">
        <v>101</v>
      </c>
      <c r="H631" s="5">
        <v>207000</v>
      </c>
      <c r="I631" s="22" t="s">
        <v>681</v>
      </c>
      <c r="J631" s="5" t="s">
        <v>102</v>
      </c>
    </row>
    <row r="632" spans="1:10" ht="30">
      <c r="A632" s="27" t="s">
        <v>1519</v>
      </c>
      <c r="B632" s="3" t="s">
        <v>395</v>
      </c>
      <c r="C632" s="3" t="s">
        <v>58</v>
      </c>
      <c r="D632" s="3" t="s">
        <v>1051</v>
      </c>
      <c r="E632" s="3" t="s">
        <v>100</v>
      </c>
      <c r="F632" s="3">
        <v>20</v>
      </c>
      <c r="G632" s="3" t="s">
        <v>101</v>
      </c>
      <c r="H632" s="5">
        <v>9000</v>
      </c>
      <c r="I632" s="22" t="s">
        <v>681</v>
      </c>
      <c r="J632" s="5" t="s">
        <v>102</v>
      </c>
    </row>
    <row r="633" spans="1:10" ht="30">
      <c r="A633" s="27" t="s">
        <v>1520</v>
      </c>
      <c r="B633" s="3" t="s">
        <v>395</v>
      </c>
      <c r="C633" s="3" t="s">
        <v>58</v>
      </c>
      <c r="D633" s="3" t="s">
        <v>11</v>
      </c>
      <c r="E633" s="3" t="s">
        <v>100</v>
      </c>
      <c r="F633" s="3">
        <v>22</v>
      </c>
      <c r="G633" s="3" t="s">
        <v>101</v>
      </c>
      <c r="H633" s="5">
        <v>4620</v>
      </c>
      <c r="I633" s="22" t="s">
        <v>681</v>
      </c>
      <c r="J633" s="5" t="s">
        <v>102</v>
      </c>
    </row>
    <row r="634" spans="1:10" ht="30">
      <c r="A634" s="27" t="s">
        <v>1521</v>
      </c>
      <c r="B634" s="3" t="s">
        <v>395</v>
      </c>
      <c r="C634" s="3" t="s">
        <v>58</v>
      </c>
      <c r="D634" s="3" t="s">
        <v>12</v>
      </c>
      <c r="E634" s="3" t="s">
        <v>100</v>
      </c>
      <c r="F634" s="3">
        <v>20</v>
      </c>
      <c r="G634" s="3" t="s">
        <v>101</v>
      </c>
      <c r="H634" s="5">
        <v>1540</v>
      </c>
      <c r="I634" s="22" t="s">
        <v>681</v>
      </c>
      <c r="J634" s="5" t="s">
        <v>102</v>
      </c>
    </row>
    <row r="635" spans="1:10" ht="30">
      <c r="A635" s="27" t="s">
        <v>1522</v>
      </c>
      <c r="B635" s="3" t="s">
        <v>395</v>
      </c>
      <c r="C635" s="3" t="s">
        <v>58</v>
      </c>
      <c r="D635" s="3" t="s">
        <v>92</v>
      </c>
      <c r="E635" s="3" t="s">
        <v>100</v>
      </c>
      <c r="F635" s="3">
        <v>20</v>
      </c>
      <c r="G635" s="3" t="s">
        <v>101</v>
      </c>
      <c r="H635" s="5">
        <v>1100</v>
      </c>
      <c r="I635" s="22" t="s">
        <v>681</v>
      </c>
      <c r="J635" s="5" t="s">
        <v>102</v>
      </c>
    </row>
    <row r="636" spans="1:10" ht="30">
      <c r="A636" s="27" t="s">
        <v>1523</v>
      </c>
      <c r="B636" s="3" t="s">
        <v>440</v>
      </c>
      <c r="C636" s="3" t="s">
        <v>58</v>
      </c>
      <c r="D636" s="3" t="s">
        <v>440</v>
      </c>
      <c r="E636" s="3" t="s">
        <v>100</v>
      </c>
      <c r="F636" s="3">
        <v>7000</v>
      </c>
      <c r="G636" s="3" t="s">
        <v>101</v>
      </c>
      <c r="H636" s="5">
        <v>0</v>
      </c>
      <c r="I636" s="22" t="s">
        <v>681</v>
      </c>
      <c r="J636" s="5" t="s">
        <v>102</v>
      </c>
    </row>
    <row r="637" spans="1:10" ht="30">
      <c r="A637" s="27" t="s">
        <v>1524</v>
      </c>
      <c r="B637" s="3" t="s">
        <v>93</v>
      </c>
      <c r="C637" s="3" t="s">
        <v>58</v>
      </c>
      <c r="D637" s="3" t="s">
        <v>93</v>
      </c>
      <c r="E637" s="22" t="s">
        <v>604</v>
      </c>
      <c r="F637" s="3">
        <v>4000</v>
      </c>
      <c r="G637" s="3" t="s">
        <v>101</v>
      </c>
      <c r="H637" s="5">
        <v>200000</v>
      </c>
      <c r="I637" s="22" t="s">
        <v>681</v>
      </c>
      <c r="J637" s="5" t="s">
        <v>102</v>
      </c>
    </row>
    <row r="638" spans="1:10" ht="30">
      <c r="A638" s="27" t="s">
        <v>1525</v>
      </c>
      <c r="B638" s="3" t="s">
        <v>603</v>
      </c>
      <c r="C638" s="3" t="s">
        <v>58</v>
      </c>
      <c r="D638" s="3" t="s">
        <v>1061</v>
      </c>
      <c r="E638" s="22" t="s">
        <v>604</v>
      </c>
      <c r="F638" s="3">
        <v>4700</v>
      </c>
      <c r="G638" s="3" t="s">
        <v>101</v>
      </c>
      <c r="H638" s="5">
        <f>28000+3125000+670089.29</f>
        <v>3823089.29</v>
      </c>
      <c r="I638" s="22" t="s">
        <v>681</v>
      </c>
      <c r="J638" s="5" t="s">
        <v>102</v>
      </c>
    </row>
    <row r="639" spans="1:10" ht="30">
      <c r="A639" s="27" t="s">
        <v>1526</v>
      </c>
      <c r="B639" s="3" t="s">
        <v>1052</v>
      </c>
      <c r="C639" s="3" t="s">
        <v>58</v>
      </c>
      <c r="D639" s="3" t="s">
        <v>1052</v>
      </c>
      <c r="E639" s="3" t="s">
        <v>100</v>
      </c>
      <c r="F639" s="3">
        <v>20</v>
      </c>
      <c r="G639" s="3" t="s">
        <v>101</v>
      </c>
      <c r="H639" s="5">
        <v>107.77</v>
      </c>
      <c r="I639" s="22" t="s">
        <v>681</v>
      </c>
      <c r="J639" s="5" t="s">
        <v>102</v>
      </c>
    </row>
    <row r="640" spans="1:10" ht="30">
      <c r="A640" s="27" t="s">
        <v>1527</v>
      </c>
      <c r="B640" s="3" t="s">
        <v>436</v>
      </c>
      <c r="C640" s="3" t="s">
        <v>58</v>
      </c>
      <c r="D640" s="3" t="s">
        <v>1050</v>
      </c>
      <c r="E640" s="3" t="s">
        <v>100</v>
      </c>
      <c r="F640" s="3">
        <v>1</v>
      </c>
      <c r="G640" s="3" t="s">
        <v>101</v>
      </c>
      <c r="H640" s="5">
        <v>0</v>
      </c>
      <c r="I640" s="22" t="s">
        <v>681</v>
      </c>
      <c r="J640" s="5" t="s">
        <v>102</v>
      </c>
    </row>
    <row r="641" spans="1:10" ht="30">
      <c r="A641" s="27" t="s">
        <v>1528</v>
      </c>
      <c r="B641" s="3" t="s">
        <v>397</v>
      </c>
      <c r="C641" s="3" t="s">
        <v>58</v>
      </c>
      <c r="D641" s="3" t="s">
        <v>1053</v>
      </c>
      <c r="E641" s="3" t="s">
        <v>100</v>
      </c>
      <c r="F641" s="3">
        <v>10</v>
      </c>
      <c r="G641" s="3" t="s">
        <v>101</v>
      </c>
      <c r="H641" s="5">
        <v>0</v>
      </c>
      <c r="I641" s="22" t="s">
        <v>681</v>
      </c>
      <c r="J641" s="5" t="s">
        <v>102</v>
      </c>
    </row>
    <row r="642" spans="1:10" ht="30">
      <c r="A642" s="27" t="s">
        <v>1529</v>
      </c>
      <c r="B642" s="3" t="s">
        <v>442</v>
      </c>
      <c r="C642" s="3" t="s">
        <v>58</v>
      </c>
      <c r="D642" s="3" t="s">
        <v>10</v>
      </c>
      <c r="E642" s="3" t="s">
        <v>100</v>
      </c>
      <c r="F642" s="3">
        <v>1000</v>
      </c>
      <c r="G642" s="3" t="s">
        <v>101</v>
      </c>
      <c r="H642" s="5">
        <v>33000</v>
      </c>
      <c r="I642" s="22" t="s">
        <v>681</v>
      </c>
      <c r="J642" s="5" t="s">
        <v>102</v>
      </c>
    </row>
    <row r="643" spans="1:10" ht="30">
      <c r="A643" s="27" t="s">
        <v>1530</v>
      </c>
      <c r="B643" s="3" t="s">
        <v>398</v>
      </c>
      <c r="C643" s="3" t="s">
        <v>58</v>
      </c>
      <c r="D643" s="3" t="s">
        <v>439</v>
      </c>
      <c r="E643" s="3" t="s">
        <v>100</v>
      </c>
      <c r="F643" s="3">
        <v>25</v>
      </c>
      <c r="G643" s="3" t="s">
        <v>101</v>
      </c>
      <c r="H643" s="5">
        <v>2675</v>
      </c>
      <c r="I643" s="22" t="s">
        <v>681</v>
      </c>
      <c r="J643" s="5" t="s">
        <v>102</v>
      </c>
    </row>
    <row r="644" spans="1:10" ht="30">
      <c r="A644" s="27" t="s">
        <v>1531</v>
      </c>
      <c r="B644" s="3" t="s">
        <v>1054</v>
      </c>
      <c r="C644" s="3" t="s">
        <v>58</v>
      </c>
      <c r="D644" s="3" t="s">
        <v>1054</v>
      </c>
      <c r="E644" s="3" t="s">
        <v>100</v>
      </c>
      <c r="F644" s="3">
        <v>10</v>
      </c>
      <c r="G644" s="3" t="s">
        <v>101</v>
      </c>
      <c r="H644" s="5">
        <v>2800</v>
      </c>
      <c r="I644" s="22" t="s">
        <v>681</v>
      </c>
      <c r="J644" s="5" t="s">
        <v>102</v>
      </c>
    </row>
    <row r="645" spans="1:10" ht="30">
      <c r="A645" s="27" t="s">
        <v>1532</v>
      </c>
      <c r="B645" s="3" t="s">
        <v>443</v>
      </c>
      <c r="C645" s="3" t="s">
        <v>58</v>
      </c>
      <c r="D645" s="3" t="s">
        <v>1055</v>
      </c>
      <c r="E645" s="3" t="s">
        <v>100</v>
      </c>
      <c r="F645" s="3">
        <v>20</v>
      </c>
      <c r="G645" s="3" t="s">
        <v>101</v>
      </c>
      <c r="H645" s="5">
        <v>1120</v>
      </c>
      <c r="I645" s="22" t="s">
        <v>681</v>
      </c>
      <c r="J645" s="5" t="s">
        <v>102</v>
      </c>
    </row>
    <row r="646" spans="1:10" ht="30">
      <c r="A646" s="27" t="s">
        <v>1533</v>
      </c>
      <c r="B646" s="3" t="s">
        <v>1058</v>
      </c>
      <c r="C646" s="3" t="s">
        <v>58</v>
      </c>
      <c r="D646" s="3" t="s">
        <v>1056</v>
      </c>
      <c r="E646" s="3" t="s">
        <v>100</v>
      </c>
      <c r="F646" s="3">
        <v>300</v>
      </c>
      <c r="G646" s="3" t="s">
        <v>101</v>
      </c>
      <c r="H646" s="5">
        <v>15000</v>
      </c>
      <c r="I646" s="22" t="s">
        <v>681</v>
      </c>
      <c r="J646" s="5" t="s">
        <v>102</v>
      </c>
    </row>
    <row r="647" spans="1:10" ht="30">
      <c r="A647" s="27" t="s">
        <v>1534</v>
      </c>
      <c r="B647" s="3" t="s">
        <v>1057</v>
      </c>
      <c r="C647" s="3" t="s">
        <v>58</v>
      </c>
      <c r="D647" s="3" t="s">
        <v>1057</v>
      </c>
      <c r="E647" s="3" t="s">
        <v>100</v>
      </c>
      <c r="F647" s="3">
        <v>300</v>
      </c>
      <c r="G647" s="3" t="s">
        <v>101</v>
      </c>
      <c r="H647" s="5">
        <v>15000</v>
      </c>
      <c r="I647" s="22" t="s">
        <v>681</v>
      </c>
      <c r="J647" s="5" t="s">
        <v>102</v>
      </c>
    </row>
    <row r="648" spans="1:10" ht="30">
      <c r="A648" s="27" t="s">
        <v>1535</v>
      </c>
      <c r="B648" s="3" t="s">
        <v>442</v>
      </c>
      <c r="C648" s="3" t="s">
        <v>58</v>
      </c>
      <c r="D648" s="3" t="s">
        <v>20</v>
      </c>
      <c r="E648" s="3" t="s">
        <v>100</v>
      </c>
      <c r="F648" s="3">
        <v>50</v>
      </c>
      <c r="G648" s="3" t="s">
        <v>101</v>
      </c>
      <c r="H648" s="5">
        <v>4150</v>
      </c>
      <c r="I648" s="22" t="s">
        <v>681</v>
      </c>
      <c r="J648" s="5" t="s">
        <v>102</v>
      </c>
    </row>
    <row r="649" spans="1:10" ht="45">
      <c r="A649" s="27" t="s">
        <v>2164</v>
      </c>
      <c r="B649" s="22" t="s">
        <v>440</v>
      </c>
      <c r="C649" s="22" t="s">
        <v>58</v>
      </c>
      <c r="D649" s="22" t="s">
        <v>2165</v>
      </c>
      <c r="E649" s="22" t="s">
        <v>100</v>
      </c>
      <c r="F649" s="22">
        <v>1000</v>
      </c>
      <c r="G649" s="22" t="s">
        <v>101</v>
      </c>
      <c r="H649" s="5">
        <v>40178.571428571428</v>
      </c>
      <c r="I649" s="22" t="s">
        <v>681</v>
      </c>
      <c r="J649" s="5" t="s">
        <v>102</v>
      </c>
    </row>
    <row r="650" spans="1:10" ht="30">
      <c r="A650" s="27" t="s">
        <v>2166</v>
      </c>
      <c r="B650" s="22" t="s">
        <v>2167</v>
      </c>
      <c r="C650" s="22" t="s">
        <v>58</v>
      </c>
      <c r="D650" s="22" t="s">
        <v>2168</v>
      </c>
      <c r="E650" s="22" t="s">
        <v>100</v>
      </c>
      <c r="F650" s="22">
        <v>1000</v>
      </c>
      <c r="G650" s="22" t="s">
        <v>101</v>
      </c>
      <c r="H650" s="5">
        <v>40178.57</v>
      </c>
      <c r="I650" s="22" t="s">
        <v>681</v>
      </c>
      <c r="J650" s="5" t="s">
        <v>102</v>
      </c>
    </row>
    <row r="651" spans="1:10" ht="30">
      <c r="A651" s="27" t="s">
        <v>2169</v>
      </c>
      <c r="B651" s="22" t="s">
        <v>93</v>
      </c>
      <c r="C651" s="22" t="s">
        <v>58</v>
      </c>
      <c r="D651" s="22" t="s">
        <v>93</v>
      </c>
      <c r="E651" s="22" t="s">
        <v>100</v>
      </c>
      <c r="F651" s="22">
        <v>4000</v>
      </c>
      <c r="G651" s="22" t="s">
        <v>101</v>
      </c>
      <c r="H651" s="5">
        <v>160714.26</v>
      </c>
      <c r="I651" s="22" t="s">
        <v>681</v>
      </c>
      <c r="J651" s="5" t="s">
        <v>102</v>
      </c>
    </row>
    <row r="652" spans="1:10" ht="30">
      <c r="A652" s="27" t="s">
        <v>2170</v>
      </c>
      <c r="B652" s="22" t="s">
        <v>2171</v>
      </c>
      <c r="C652" s="22" t="s">
        <v>58</v>
      </c>
      <c r="D652" s="22" t="s">
        <v>2172</v>
      </c>
      <c r="E652" s="22" t="s">
        <v>100</v>
      </c>
      <c r="F652" s="22">
        <v>50</v>
      </c>
      <c r="G652" s="22" t="s">
        <v>101</v>
      </c>
      <c r="H652" s="5">
        <v>14285.71</v>
      </c>
      <c r="I652" s="22" t="s">
        <v>681</v>
      </c>
      <c r="J652" s="5" t="s">
        <v>102</v>
      </c>
    </row>
    <row r="653" spans="1:10" ht="30">
      <c r="A653" s="27" t="s">
        <v>2173</v>
      </c>
      <c r="B653" s="22" t="s">
        <v>2174</v>
      </c>
      <c r="C653" s="22" t="s">
        <v>58</v>
      </c>
      <c r="D653" s="22" t="s">
        <v>2175</v>
      </c>
      <c r="E653" s="22" t="s">
        <v>100</v>
      </c>
      <c r="F653" s="22">
        <v>50</v>
      </c>
      <c r="G653" s="22" t="s">
        <v>101</v>
      </c>
      <c r="H653" s="5">
        <v>8035.71</v>
      </c>
      <c r="I653" s="22" t="s">
        <v>681</v>
      </c>
      <c r="J653" s="5" t="s">
        <v>102</v>
      </c>
    </row>
    <row r="654" spans="1:10" ht="30">
      <c r="A654" s="27" t="s">
        <v>2176</v>
      </c>
      <c r="B654" s="22" t="s">
        <v>2177</v>
      </c>
      <c r="C654" s="22" t="s">
        <v>58</v>
      </c>
      <c r="D654" s="22" t="s">
        <v>2178</v>
      </c>
      <c r="E654" s="22" t="s">
        <v>100</v>
      </c>
      <c r="F654" s="22">
        <v>600</v>
      </c>
      <c r="G654" s="22" t="s">
        <v>101</v>
      </c>
      <c r="H654" s="5">
        <v>133928.57</v>
      </c>
      <c r="I654" s="22" t="s">
        <v>681</v>
      </c>
      <c r="J654" s="5" t="s">
        <v>102</v>
      </c>
    </row>
    <row r="655" spans="1:10" ht="30">
      <c r="A655" s="27" t="s">
        <v>2179</v>
      </c>
      <c r="B655" s="22" t="s">
        <v>2180</v>
      </c>
      <c r="C655" s="22" t="s">
        <v>58</v>
      </c>
      <c r="D655" s="22" t="s">
        <v>2181</v>
      </c>
      <c r="E655" s="22" t="s">
        <v>100</v>
      </c>
      <c r="F655" s="22">
        <v>100</v>
      </c>
      <c r="G655" s="22" t="s">
        <v>101</v>
      </c>
      <c r="H655" s="5">
        <v>4464.29</v>
      </c>
      <c r="I655" s="22" t="s">
        <v>681</v>
      </c>
      <c r="J655" s="5" t="s">
        <v>102</v>
      </c>
    </row>
    <row r="656" spans="1:10" ht="30">
      <c r="A656" s="27" t="s">
        <v>2182</v>
      </c>
      <c r="B656" s="22" t="s">
        <v>2180</v>
      </c>
      <c r="C656" s="22" t="s">
        <v>58</v>
      </c>
      <c r="D656" s="22" t="s">
        <v>2183</v>
      </c>
      <c r="E656" s="22" t="s">
        <v>100</v>
      </c>
      <c r="F656" s="22">
        <v>100</v>
      </c>
      <c r="G656" s="22" t="s">
        <v>101</v>
      </c>
      <c r="H656" s="5">
        <v>4464.29</v>
      </c>
      <c r="I656" s="22" t="s">
        <v>681</v>
      </c>
      <c r="J656" s="5" t="s">
        <v>102</v>
      </c>
    </row>
    <row r="657" spans="1:10" ht="30">
      <c r="A657" s="27" t="s">
        <v>2184</v>
      </c>
      <c r="B657" s="22" t="s">
        <v>2185</v>
      </c>
      <c r="C657" s="22" t="s">
        <v>58</v>
      </c>
      <c r="D657" s="22" t="s">
        <v>2185</v>
      </c>
      <c r="E657" s="22" t="s">
        <v>100</v>
      </c>
      <c r="F657" s="22">
        <v>800</v>
      </c>
      <c r="G657" s="22" t="s">
        <v>101</v>
      </c>
      <c r="H657" s="5">
        <v>14285.71</v>
      </c>
      <c r="I657" s="22" t="s">
        <v>681</v>
      </c>
      <c r="J657" s="5" t="s">
        <v>102</v>
      </c>
    </row>
    <row r="658" spans="1:10" ht="30">
      <c r="A658" s="27" t="s">
        <v>2186</v>
      </c>
      <c r="B658" s="22" t="s">
        <v>2187</v>
      </c>
      <c r="C658" s="22" t="s">
        <v>58</v>
      </c>
      <c r="D658" s="22" t="s">
        <v>2187</v>
      </c>
      <c r="E658" s="22" t="s">
        <v>100</v>
      </c>
      <c r="F658" s="22">
        <v>800</v>
      </c>
      <c r="G658" s="22" t="s">
        <v>101</v>
      </c>
      <c r="H658" s="5">
        <v>14285.71</v>
      </c>
      <c r="I658" s="22" t="s">
        <v>681</v>
      </c>
      <c r="J658" s="5" t="s">
        <v>102</v>
      </c>
    </row>
    <row r="659" spans="1:10" ht="30">
      <c r="A659" s="27" t="s">
        <v>2188</v>
      </c>
      <c r="B659" s="22" t="s">
        <v>2189</v>
      </c>
      <c r="C659" s="22" t="s">
        <v>58</v>
      </c>
      <c r="D659" s="22" t="s">
        <v>2189</v>
      </c>
      <c r="E659" s="22" t="s">
        <v>100</v>
      </c>
      <c r="F659" s="22">
        <v>800</v>
      </c>
      <c r="G659" s="22" t="s">
        <v>101</v>
      </c>
      <c r="H659" s="5">
        <v>14285.71</v>
      </c>
      <c r="I659" s="22" t="s">
        <v>681</v>
      </c>
      <c r="J659" s="5" t="s">
        <v>102</v>
      </c>
    </row>
    <row r="660" spans="1:10" ht="30">
      <c r="A660" s="27" t="s">
        <v>2190</v>
      </c>
      <c r="B660" s="22" t="s">
        <v>2191</v>
      </c>
      <c r="C660" s="22" t="s">
        <v>58</v>
      </c>
      <c r="D660" s="22" t="s">
        <v>2191</v>
      </c>
      <c r="E660" s="22" t="s">
        <v>100</v>
      </c>
      <c r="F660" s="22">
        <v>800</v>
      </c>
      <c r="G660" s="22" t="s">
        <v>101</v>
      </c>
      <c r="H660" s="5">
        <v>14285.71</v>
      </c>
      <c r="I660" s="22" t="s">
        <v>681</v>
      </c>
      <c r="J660" s="5" t="s">
        <v>102</v>
      </c>
    </row>
    <row r="661" spans="1:10" ht="30">
      <c r="A661" s="27" t="s">
        <v>2192</v>
      </c>
      <c r="B661" s="17" t="s">
        <v>2193</v>
      </c>
      <c r="C661" s="22" t="s">
        <v>58</v>
      </c>
      <c r="D661" s="22" t="s">
        <v>2194</v>
      </c>
      <c r="E661" s="22" t="s">
        <v>100</v>
      </c>
      <c r="F661" s="22">
        <v>50</v>
      </c>
      <c r="G661" s="22" t="s">
        <v>101</v>
      </c>
      <c r="H661" s="5">
        <v>67857.14</v>
      </c>
      <c r="I661" s="22" t="s">
        <v>681</v>
      </c>
      <c r="J661" s="5" t="s">
        <v>102</v>
      </c>
    </row>
    <row r="662" spans="1:10" ht="30">
      <c r="A662" s="27" t="s">
        <v>2195</v>
      </c>
      <c r="B662" s="22" t="s">
        <v>2196</v>
      </c>
      <c r="C662" s="22" t="s">
        <v>58</v>
      </c>
      <c r="D662" s="22" t="s">
        <v>2196</v>
      </c>
      <c r="E662" s="22" t="s">
        <v>100</v>
      </c>
      <c r="F662" s="22">
        <v>1000</v>
      </c>
      <c r="G662" s="22" t="s">
        <v>101</v>
      </c>
      <c r="H662" s="5">
        <v>31249.999999999996</v>
      </c>
      <c r="I662" s="22" t="s">
        <v>681</v>
      </c>
      <c r="J662" s="5" t="s">
        <v>102</v>
      </c>
    </row>
    <row r="663" spans="1:10" ht="30">
      <c r="A663" s="27" t="s">
        <v>2197</v>
      </c>
      <c r="B663" s="22" t="s">
        <v>442</v>
      </c>
      <c r="C663" s="22" t="s">
        <v>58</v>
      </c>
      <c r="D663" s="22" t="s">
        <v>20</v>
      </c>
      <c r="E663" s="22" t="s">
        <v>100</v>
      </c>
      <c r="F663" s="22">
        <v>100</v>
      </c>
      <c r="G663" s="22" t="s">
        <v>101</v>
      </c>
      <c r="H663" s="5">
        <v>8035.71</v>
      </c>
      <c r="I663" s="22" t="s">
        <v>681</v>
      </c>
      <c r="J663" s="5" t="s">
        <v>102</v>
      </c>
    </row>
    <row r="664" spans="1:10" ht="30">
      <c r="A664" s="27" t="s">
        <v>2198</v>
      </c>
      <c r="B664" s="22" t="s">
        <v>442</v>
      </c>
      <c r="C664" s="22" t="s">
        <v>58</v>
      </c>
      <c r="D664" s="22" t="s">
        <v>2199</v>
      </c>
      <c r="E664" s="22" t="s">
        <v>100</v>
      </c>
      <c r="F664" s="22">
        <v>200</v>
      </c>
      <c r="G664" s="22" t="s">
        <v>101</v>
      </c>
      <c r="H664" s="5">
        <v>892.86</v>
      </c>
      <c r="I664" s="22" t="s">
        <v>681</v>
      </c>
      <c r="J664" s="5" t="s">
        <v>102</v>
      </c>
    </row>
    <row r="665" spans="1:10" ht="45">
      <c r="A665" s="27" t="s">
        <v>2200</v>
      </c>
      <c r="B665" s="22" t="s">
        <v>397</v>
      </c>
      <c r="C665" s="22" t="s">
        <v>58</v>
      </c>
      <c r="D665" s="22" t="s">
        <v>2201</v>
      </c>
      <c r="E665" s="22" t="s">
        <v>100</v>
      </c>
      <c r="F665" s="22">
        <v>125</v>
      </c>
      <c r="G665" s="22" t="s">
        <v>101</v>
      </c>
      <c r="H665" s="5">
        <v>69754.460000000006</v>
      </c>
      <c r="I665" s="22" t="s">
        <v>681</v>
      </c>
      <c r="J665" s="5" t="s">
        <v>102</v>
      </c>
    </row>
    <row r="666" spans="1:10" ht="30">
      <c r="A666" s="27" t="s">
        <v>2202</v>
      </c>
      <c r="B666" s="22" t="s">
        <v>2203</v>
      </c>
      <c r="C666" s="22" t="s">
        <v>58</v>
      </c>
      <c r="D666" s="22" t="s">
        <v>2204</v>
      </c>
      <c r="E666" s="22" t="s">
        <v>100</v>
      </c>
      <c r="F666" s="22">
        <v>450</v>
      </c>
      <c r="G666" s="22" t="s">
        <v>101</v>
      </c>
      <c r="H666" s="5">
        <f>13392.86+26785.71</f>
        <v>40178.57</v>
      </c>
      <c r="I666" s="22" t="s">
        <v>681</v>
      </c>
      <c r="J666" s="5" t="s">
        <v>102</v>
      </c>
    </row>
    <row r="667" spans="1:10" ht="30">
      <c r="A667" s="27" t="s">
        <v>2205</v>
      </c>
      <c r="B667" s="22" t="s">
        <v>2206</v>
      </c>
      <c r="C667" s="22" t="s">
        <v>58</v>
      </c>
      <c r="D667" s="22" t="s">
        <v>2206</v>
      </c>
      <c r="E667" s="22" t="s">
        <v>100</v>
      </c>
      <c r="F667" s="22">
        <v>1500</v>
      </c>
      <c r="G667" s="22" t="s">
        <v>101</v>
      </c>
      <c r="H667" s="5">
        <v>40178.57</v>
      </c>
      <c r="I667" s="22" t="s">
        <v>681</v>
      </c>
      <c r="J667" s="5" t="s">
        <v>102</v>
      </c>
    </row>
    <row r="668" spans="1:10" ht="30">
      <c r="A668" s="27" t="s">
        <v>2207</v>
      </c>
      <c r="B668" s="22" t="s">
        <v>2208</v>
      </c>
      <c r="C668" s="22" t="s">
        <v>58</v>
      </c>
      <c r="D668" s="22" t="s">
        <v>2208</v>
      </c>
      <c r="E668" s="22" t="s">
        <v>100</v>
      </c>
      <c r="F668" s="22">
        <v>100</v>
      </c>
      <c r="G668" s="22" t="s">
        <v>101</v>
      </c>
      <c r="H668" s="5">
        <v>2232.14</v>
      </c>
      <c r="I668" s="22" t="s">
        <v>681</v>
      </c>
      <c r="J668" s="5" t="s">
        <v>102</v>
      </c>
    </row>
    <row r="669" spans="1:10" ht="30">
      <c r="A669" s="27" t="s">
        <v>2209</v>
      </c>
      <c r="B669" s="22" t="s">
        <v>2210</v>
      </c>
      <c r="C669" s="22" t="s">
        <v>58</v>
      </c>
      <c r="D669" s="22" t="s">
        <v>2210</v>
      </c>
      <c r="E669" s="22" t="s">
        <v>100</v>
      </c>
      <c r="F669" s="22">
        <v>100</v>
      </c>
      <c r="G669" s="22" t="s">
        <v>101</v>
      </c>
      <c r="H669" s="5">
        <v>3035.71</v>
      </c>
      <c r="I669" s="22" t="s">
        <v>681</v>
      </c>
      <c r="J669" s="5" t="s">
        <v>102</v>
      </c>
    </row>
    <row r="670" spans="1:10" ht="30">
      <c r="A670" s="27" t="s">
        <v>2211</v>
      </c>
      <c r="B670" s="22" t="s">
        <v>2212</v>
      </c>
      <c r="C670" s="22" t="s">
        <v>58</v>
      </c>
      <c r="D670" s="22" t="s">
        <v>2213</v>
      </c>
      <c r="E670" s="22" t="s">
        <v>100</v>
      </c>
      <c r="F670" s="22">
        <v>50</v>
      </c>
      <c r="G670" s="22" t="s">
        <v>101</v>
      </c>
      <c r="H670" s="5">
        <v>28883.93</v>
      </c>
      <c r="I670" s="22" t="s">
        <v>681</v>
      </c>
      <c r="J670" s="5" t="s">
        <v>102</v>
      </c>
    </row>
    <row r="671" spans="1:10" ht="30">
      <c r="A671" s="27" t="s">
        <v>2214</v>
      </c>
      <c r="B671" s="22" t="s">
        <v>2215</v>
      </c>
      <c r="C671" s="22" t="s">
        <v>58</v>
      </c>
      <c r="D671" s="22" t="s">
        <v>2215</v>
      </c>
      <c r="E671" s="22" t="s">
        <v>100</v>
      </c>
      <c r="F671" s="22">
        <v>50</v>
      </c>
      <c r="G671" s="22" t="s">
        <v>101</v>
      </c>
      <c r="H671" s="5">
        <v>4687.5</v>
      </c>
      <c r="I671" s="22" t="s">
        <v>681</v>
      </c>
      <c r="J671" s="5" t="s">
        <v>102</v>
      </c>
    </row>
    <row r="672" spans="1:10" ht="30">
      <c r="A672" s="27" t="s">
        <v>2216</v>
      </c>
      <c r="B672" s="22" t="s">
        <v>2217</v>
      </c>
      <c r="C672" s="22" t="s">
        <v>58</v>
      </c>
      <c r="D672" s="22" t="s">
        <v>2217</v>
      </c>
      <c r="E672" s="22" t="s">
        <v>100</v>
      </c>
      <c r="F672" s="22">
        <v>50</v>
      </c>
      <c r="G672" s="22" t="s">
        <v>101</v>
      </c>
      <c r="H672" s="5">
        <v>2678.57</v>
      </c>
      <c r="I672" s="22" t="s">
        <v>681</v>
      </c>
      <c r="J672" s="5" t="s">
        <v>102</v>
      </c>
    </row>
    <row r="673" spans="1:10" ht="30">
      <c r="A673" s="27" t="s">
        <v>2218</v>
      </c>
      <c r="B673" s="22" t="s">
        <v>2219</v>
      </c>
      <c r="C673" s="22" t="s">
        <v>58</v>
      </c>
      <c r="D673" s="22" t="s">
        <v>2220</v>
      </c>
      <c r="E673" s="22" t="s">
        <v>100</v>
      </c>
      <c r="F673" s="22">
        <v>4500</v>
      </c>
      <c r="G673" s="22" t="s">
        <v>101</v>
      </c>
      <c r="H673" s="5">
        <f>66964.29+133928.57</f>
        <v>200892.86</v>
      </c>
      <c r="I673" s="22" t="s">
        <v>681</v>
      </c>
      <c r="J673" s="5" t="s">
        <v>102</v>
      </c>
    </row>
    <row r="674" spans="1:10" ht="30">
      <c r="A674" s="27" t="s">
        <v>2221</v>
      </c>
      <c r="B674" s="22" t="s">
        <v>2222</v>
      </c>
      <c r="C674" s="22" t="s">
        <v>58</v>
      </c>
      <c r="D674" s="22" t="s">
        <v>2223</v>
      </c>
      <c r="E674" s="22" t="s">
        <v>100</v>
      </c>
      <c r="F674" s="22">
        <v>50</v>
      </c>
      <c r="G674" s="22" t="s">
        <v>101</v>
      </c>
      <c r="H674" s="5">
        <v>2232.14</v>
      </c>
      <c r="I674" s="22" t="s">
        <v>681</v>
      </c>
      <c r="J674" s="5" t="s">
        <v>102</v>
      </c>
    </row>
    <row r="675" spans="1:10" ht="30">
      <c r="A675" s="27" t="s">
        <v>2224</v>
      </c>
      <c r="B675" s="22" t="s">
        <v>2225</v>
      </c>
      <c r="C675" s="22" t="s">
        <v>58</v>
      </c>
      <c r="D675" s="22" t="s">
        <v>2225</v>
      </c>
      <c r="E675" s="22" t="s">
        <v>100</v>
      </c>
      <c r="F675" s="22">
        <v>150</v>
      </c>
      <c r="G675" s="22" t="s">
        <v>101</v>
      </c>
      <c r="H675" s="5">
        <v>5089.29</v>
      </c>
      <c r="I675" s="22" t="s">
        <v>681</v>
      </c>
      <c r="J675" s="5" t="s">
        <v>102</v>
      </c>
    </row>
    <row r="676" spans="1:10" ht="30">
      <c r="A676" s="27" t="s">
        <v>2226</v>
      </c>
      <c r="B676" s="22" t="s">
        <v>2227</v>
      </c>
      <c r="C676" s="22" t="s">
        <v>58</v>
      </c>
      <c r="D676" s="22" t="s">
        <v>2227</v>
      </c>
      <c r="E676" s="22" t="s">
        <v>100</v>
      </c>
      <c r="F676" s="22">
        <v>50</v>
      </c>
      <c r="G676" s="22" t="s">
        <v>101</v>
      </c>
      <c r="H676" s="5">
        <v>2901.79</v>
      </c>
      <c r="I676" s="22" t="s">
        <v>681</v>
      </c>
      <c r="J676" s="5" t="s">
        <v>102</v>
      </c>
    </row>
    <row r="677" spans="1:10" ht="30">
      <c r="A677" s="27" t="s">
        <v>2228</v>
      </c>
      <c r="B677" s="22" t="s">
        <v>2229</v>
      </c>
      <c r="C677" s="22" t="s">
        <v>58</v>
      </c>
      <c r="D677" s="22" t="s">
        <v>2229</v>
      </c>
      <c r="E677" s="22" t="s">
        <v>100</v>
      </c>
      <c r="F677" s="22">
        <v>600</v>
      </c>
      <c r="G677" s="22" t="s">
        <v>101</v>
      </c>
      <c r="H677" s="5">
        <v>21428.57</v>
      </c>
      <c r="I677" s="22" t="s">
        <v>681</v>
      </c>
      <c r="J677" s="5" t="s">
        <v>102</v>
      </c>
    </row>
    <row r="678" spans="1:10" ht="30">
      <c r="A678" s="27" t="s">
        <v>2230</v>
      </c>
      <c r="B678" s="22" t="s">
        <v>2231</v>
      </c>
      <c r="C678" s="22" t="s">
        <v>58</v>
      </c>
      <c r="D678" s="22" t="s">
        <v>2231</v>
      </c>
      <c r="E678" s="22" t="s">
        <v>100</v>
      </c>
      <c r="F678" s="22">
        <v>300</v>
      </c>
      <c r="G678" s="22" t="s">
        <v>101</v>
      </c>
      <c r="H678" s="5">
        <v>13392.86</v>
      </c>
      <c r="I678" s="22" t="s">
        <v>681</v>
      </c>
      <c r="J678" s="5" t="s">
        <v>102</v>
      </c>
    </row>
    <row r="679" spans="1:10" ht="30">
      <c r="A679" s="27" t="s">
        <v>2232</v>
      </c>
      <c r="B679" s="22" t="s">
        <v>2233</v>
      </c>
      <c r="C679" s="22" t="s">
        <v>58</v>
      </c>
      <c r="D679" s="22" t="s">
        <v>2234</v>
      </c>
      <c r="E679" s="22" t="s">
        <v>100</v>
      </c>
      <c r="F679" s="22">
        <v>100</v>
      </c>
      <c r="G679" s="22" t="s">
        <v>101</v>
      </c>
      <c r="H679" s="5">
        <v>23749.999999999996</v>
      </c>
      <c r="I679" s="22" t="s">
        <v>681</v>
      </c>
      <c r="J679" s="5" t="s">
        <v>102</v>
      </c>
    </row>
    <row r="680" spans="1:10" ht="30">
      <c r="A680" s="27" t="s">
        <v>2235</v>
      </c>
      <c r="B680" s="22" t="s">
        <v>2233</v>
      </c>
      <c r="C680" s="22" t="s">
        <v>58</v>
      </c>
      <c r="D680" s="22" t="s">
        <v>2236</v>
      </c>
      <c r="E680" s="22" t="s">
        <v>100</v>
      </c>
      <c r="F680" s="22">
        <v>100</v>
      </c>
      <c r="G680" s="22" t="s">
        <v>101</v>
      </c>
      <c r="H680" s="5">
        <v>16517.86</v>
      </c>
      <c r="I680" s="22" t="s">
        <v>681</v>
      </c>
      <c r="J680" s="5" t="s">
        <v>102</v>
      </c>
    </row>
    <row r="681" spans="1:10" ht="30">
      <c r="A681" s="27" t="s">
        <v>2237</v>
      </c>
      <c r="B681" s="22" t="s">
        <v>2238</v>
      </c>
      <c r="C681" s="22" t="s">
        <v>58</v>
      </c>
      <c r="D681" s="22" t="s">
        <v>2239</v>
      </c>
      <c r="E681" s="22" t="s">
        <v>100</v>
      </c>
      <c r="F681" s="22">
        <v>150</v>
      </c>
      <c r="G681" s="22" t="s">
        <v>101</v>
      </c>
      <c r="H681" s="5">
        <v>3348.21</v>
      </c>
      <c r="I681" s="22" t="s">
        <v>681</v>
      </c>
      <c r="J681" s="5" t="s">
        <v>102</v>
      </c>
    </row>
    <row r="682" spans="1:10" ht="30">
      <c r="A682" s="27" t="s">
        <v>2240</v>
      </c>
      <c r="B682" s="22" t="s">
        <v>2241</v>
      </c>
      <c r="C682" s="22" t="s">
        <v>58</v>
      </c>
      <c r="D682" s="22" t="s">
        <v>2241</v>
      </c>
      <c r="E682" s="22" t="s">
        <v>100</v>
      </c>
      <c r="F682" s="22">
        <v>30</v>
      </c>
      <c r="G682" s="22" t="s">
        <v>101</v>
      </c>
      <c r="H682" s="5">
        <v>40178.57</v>
      </c>
      <c r="I682" s="22" t="s">
        <v>681</v>
      </c>
      <c r="J682" s="5" t="s">
        <v>102</v>
      </c>
    </row>
    <row r="683" spans="1:10" ht="30">
      <c r="A683" s="27" t="s">
        <v>2242</v>
      </c>
      <c r="B683" s="22" t="s">
        <v>2243</v>
      </c>
      <c r="C683" s="22" t="s">
        <v>58</v>
      </c>
      <c r="D683" s="22" t="s">
        <v>2244</v>
      </c>
      <c r="E683" s="22" t="s">
        <v>100</v>
      </c>
      <c r="F683" s="22">
        <v>50</v>
      </c>
      <c r="G683" s="22" t="s">
        <v>101</v>
      </c>
      <c r="H683" s="5">
        <v>2455.36</v>
      </c>
      <c r="I683" s="22" t="s">
        <v>681</v>
      </c>
      <c r="J683" s="5" t="s">
        <v>102</v>
      </c>
    </row>
    <row r="684" spans="1:10" ht="30">
      <c r="A684" s="27" t="s">
        <v>2245</v>
      </c>
      <c r="B684" s="22" t="s">
        <v>2246</v>
      </c>
      <c r="C684" s="22" t="s">
        <v>58</v>
      </c>
      <c r="D684" s="22" t="s">
        <v>2246</v>
      </c>
      <c r="E684" s="22" t="s">
        <v>100</v>
      </c>
      <c r="F684" s="22">
        <v>1000</v>
      </c>
      <c r="G684" s="22" t="s">
        <v>101</v>
      </c>
      <c r="H684" s="5">
        <v>114285.71</v>
      </c>
      <c r="I684" s="22" t="s">
        <v>681</v>
      </c>
      <c r="J684" s="5" t="s">
        <v>102</v>
      </c>
    </row>
    <row r="685" spans="1:10" ht="30">
      <c r="A685" s="27" t="s">
        <v>2247</v>
      </c>
      <c r="B685" s="22" t="s">
        <v>2248</v>
      </c>
      <c r="C685" s="22" t="s">
        <v>58</v>
      </c>
      <c r="D685" s="22" t="s">
        <v>2248</v>
      </c>
      <c r="E685" s="22" t="s">
        <v>100</v>
      </c>
      <c r="F685" s="22">
        <v>50</v>
      </c>
      <c r="G685" s="22" t="s">
        <v>101</v>
      </c>
      <c r="H685" s="5">
        <v>3348.21</v>
      </c>
      <c r="I685" s="22" t="s">
        <v>681</v>
      </c>
      <c r="J685" s="5" t="s">
        <v>102</v>
      </c>
    </row>
    <row r="686" spans="1:10" ht="30">
      <c r="A686" s="27" t="s">
        <v>2249</v>
      </c>
      <c r="B686" s="22" t="s">
        <v>2250</v>
      </c>
      <c r="C686" s="22" t="s">
        <v>58</v>
      </c>
      <c r="D686" s="22" t="s">
        <v>2251</v>
      </c>
      <c r="E686" s="22" t="s">
        <v>100</v>
      </c>
      <c r="F686" s="22">
        <v>150</v>
      </c>
      <c r="G686" s="22" t="s">
        <v>101</v>
      </c>
      <c r="H686" s="5">
        <v>3348.21</v>
      </c>
      <c r="I686" s="22" t="s">
        <v>681</v>
      </c>
      <c r="J686" s="5" t="s">
        <v>102</v>
      </c>
    </row>
    <row r="687" spans="1:10" ht="30">
      <c r="A687" s="27" t="s">
        <v>2252</v>
      </c>
      <c r="B687" s="22" t="s">
        <v>2253</v>
      </c>
      <c r="C687" s="22" t="s">
        <v>58</v>
      </c>
      <c r="D687" s="22" t="s">
        <v>2254</v>
      </c>
      <c r="E687" s="22" t="s">
        <v>100</v>
      </c>
      <c r="F687" s="22">
        <v>50</v>
      </c>
      <c r="G687" s="22" t="s">
        <v>101</v>
      </c>
      <c r="H687" s="5">
        <v>16875</v>
      </c>
      <c r="I687" s="22" t="s">
        <v>681</v>
      </c>
      <c r="J687" s="5" t="s">
        <v>102</v>
      </c>
    </row>
    <row r="688" spans="1:10" ht="30">
      <c r="A688" s="27" t="s">
        <v>2255</v>
      </c>
      <c r="B688" s="22" t="s">
        <v>2256</v>
      </c>
      <c r="C688" s="22" t="s">
        <v>58</v>
      </c>
      <c r="D688" s="22" t="s">
        <v>2256</v>
      </c>
      <c r="E688" s="22" t="s">
        <v>100</v>
      </c>
      <c r="F688" s="22">
        <v>150</v>
      </c>
      <c r="G688" s="22" t="s">
        <v>101</v>
      </c>
      <c r="H688" s="5">
        <v>5892.86</v>
      </c>
      <c r="I688" s="22" t="s">
        <v>681</v>
      </c>
      <c r="J688" s="5" t="s">
        <v>102</v>
      </c>
    </row>
    <row r="689" spans="1:10" ht="30">
      <c r="A689" s="27" t="s">
        <v>2257</v>
      </c>
      <c r="B689" s="22" t="s">
        <v>2258</v>
      </c>
      <c r="C689" s="22" t="s">
        <v>58</v>
      </c>
      <c r="D689" s="22" t="s">
        <v>2259</v>
      </c>
      <c r="E689" s="22" t="s">
        <v>604</v>
      </c>
      <c r="F689" s="22">
        <v>20</v>
      </c>
      <c r="G689" s="22" t="s">
        <v>101</v>
      </c>
      <c r="H689" s="5">
        <v>3035.71</v>
      </c>
      <c r="I689" s="22" t="s">
        <v>681</v>
      </c>
      <c r="J689" s="5" t="s">
        <v>102</v>
      </c>
    </row>
    <row r="690" spans="1:10" ht="30">
      <c r="A690" s="27" t="s">
        <v>2260</v>
      </c>
      <c r="B690" s="22" t="s">
        <v>2261</v>
      </c>
      <c r="C690" s="22" t="s">
        <v>58</v>
      </c>
      <c r="D690" s="22" t="s">
        <v>2261</v>
      </c>
      <c r="E690" s="22" t="s">
        <v>2262</v>
      </c>
      <c r="F690" s="22">
        <v>3</v>
      </c>
      <c r="G690" s="22" t="s">
        <v>101</v>
      </c>
      <c r="H690" s="5">
        <v>5357.14</v>
      </c>
      <c r="I690" s="22" t="s">
        <v>681</v>
      </c>
      <c r="J690" s="5" t="s">
        <v>102</v>
      </c>
    </row>
    <row r="691" spans="1:10" ht="30">
      <c r="A691" s="27" t="s">
        <v>2263</v>
      </c>
      <c r="B691" s="22" t="s">
        <v>2264</v>
      </c>
      <c r="C691" s="22" t="s">
        <v>58</v>
      </c>
      <c r="D691" s="22" t="s">
        <v>2264</v>
      </c>
      <c r="E691" s="22" t="s">
        <v>100</v>
      </c>
      <c r="F691" s="22">
        <v>400</v>
      </c>
      <c r="G691" s="22" t="s">
        <v>101</v>
      </c>
      <c r="H691" s="5">
        <f>535714.29-455357.15</f>
        <v>80357.140000000014</v>
      </c>
      <c r="I691" s="22" t="s">
        <v>681</v>
      </c>
      <c r="J691" s="5" t="s">
        <v>102</v>
      </c>
    </row>
    <row r="692" spans="1:10" ht="30">
      <c r="A692" s="27" t="s">
        <v>2265</v>
      </c>
      <c r="B692" s="22" t="s">
        <v>2266</v>
      </c>
      <c r="C692" s="22" t="s">
        <v>58</v>
      </c>
      <c r="D692" s="22" t="s">
        <v>2267</v>
      </c>
      <c r="E692" s="22" t="s">
        <v>100</v>
      </c>
      <c r="F692" s="22">
        <v>50</v>
      </c>
      <c r="G692" s="22" t="s">
        <v>101</v>
      </c>
      <c r="H692" s="5">
        <f>46875-46875</f>
        <v>0</v>
      </c>
      <c r="I692" s="22" t="s">
        <v>681</v>
      </c>
      <c r="J692" s="5" t="s">
        <v>102</v>
      </c>
    </row>
    <row r="693" spans="1:10" ht="30">
      <c r="A693" s="27" t="s">
        <v>2268</v>
      </c>
      <c r="B693" s="22" t="s">
        <v>439</v>
      </c>
      <c r="C693" s="22" t="s">
        <v>58</v>
      </c>
      <c r="D693" s="22" t="s">
        <v>439</v>
      </c>
      <c r="E693" s="22" t="s">
        <v>100</v>
      </c>
      <c r="F693" s="22">
        <v>700</v>
      </c>
      <c r="G693" s="22" t="s">
        <v>101</v>
      </c>
      <c r="H693" s="5">
        <v>73750</v>
      </c>
      <c r="I693" s="22" t="s">
        <v>681</v>
      </c>
      <c r="J693" s="5" t="s">
        <v>102</v>
      </c>
    </row>
    <row r="694" spans="1:10" ht="30">
      <c r="A694" s="27" t="s">
        <v>2269</v>
      </c>
      <c r="B694" s="22" t="s">
        <v>2270</v>
      </c>
      <c r="C694" s="22" t="s">
        <v>58</v>
      </c>
      <c r="D694" s="22" t="s">
        <v>2271</v>
      </c>
      <c r="E694" s="22" t="s">
        <v>100</v>
      </c>
      <c r="F694" s="22">
        <v>80</v>
      </c>
      <c r="G694" s="22" t="s">
        <v>101</v>
      </c>
      <c r="H694" s="5">
        <v>89285.71</v>
      </c>
      <c r="I694" s="22" t="s">
        <v>681</v>
      </c>
      <c r="J694" s="5" t="s">
        <v>102</v>
      </c>
    </row>
    <row r="695" spans="1:10" ht="30">
      <c r="A695" s="27" t="s">
        <v>2272</v>
      </c>
      <c r="B695" s="22" t="s">
        <v>2273</v>
      </c>
      <c r="C695" s="22" t="s">
        <v>58</v>
      </c>
      <c r="D695" s="22" t="s">
        <v>2273</v>
      </c>
      <c r="E695" s="22" t="s">
        <v>100</v>
      </c>
      <c r="F695" s="22">
        <v>150</v>
      </c>
      <c r="G695" s="22" t="s">
        <v>101</v>
      </c>
      <c r="H695" s="5">
        <v>23571.43</v>
      </c>
      <c r="I695" s="22" t="s">
        <v>681</v>
      </c>
      <c r="J695" s="5" t="s">
        <v>102</v>
      </c>
    </row>
    <row r="696" spans="1:10" ht="30">
      <c r="A696" s="27" t="s">
        <v>2274</v>
      </c>
      <c r="B696" s="22" t="s">
        <v>2246</v>
      </c>
      <c r="C696" s="22" t="s">
        <v>58</v>
      </c>
      <c r="D696" s="22" t="s">
        <v>2246</v>
      </c>
      <c r="E696" s="22" t="s">
        <v>100</v>
      </c>
      <c r="F696" s="22">
        <v>1500</v>
      </c>
      <c r="G696" s="22" t="s">
        <v>101</v>
      </c>
      <c r="H696" s="5">
        <v>171428.57</v>
      </c>
      <c r="I696" s="22" t="s">
        <v>681</v>
      </c>
      <c r="J696" s="5" t="s">
        <v>102</v>
      </c>
    </row>
    <row r="697" spans="1:10" ht="30">
      <c r="A697" s="27" t="s">
        <v>2275</v>
      </c>
      <c r="B697" s="22" t="s">
        <v>2276</v>
      </c>
      <c r="C697" s="22" t="s">
        <v>58</v>
      </c>
      <c r="D697" s="22" t="s">
        <v>2276</v>
      </c>
      <c r="E697" s="22" t="s">
        <v>100</v>
      </c>
      <c r="F697" s="22">
        <v>10000</v>
      </c>
      <c r="G697" s="22" t="s">
        <v>101</v>
      </c>
      <c r="H697" s="5">
        <f>89285.71-17857.14</f>
        <v>71428.570000000007</v>
      </c>
      <c r="I697" s="22" t="s">
        <v>681</v>
      </c>
      <c r="J697" s="5" t="s">
        <v>102</v>
      </c>
    </row>
    <row r="698" spans="1:10" ht="45">
      <c r="A698" s="27" t="s">
        <v>2277</v>
      </c>
      <c r="B698" s="22" t="s">
        <v>2278</v>
      </c>
      <c r="C698" s="22" t="s">
        <v>58</v>
      </c>
      <c r="D698" s="22" t="s">
        <v>2278</v>
      </c>
      <c r="E698" s="22" t="s">
        <v>100</v>
      </c>
      <c r="F698" s="22">
        <v>40</v>
      </c>
      <c r="G698" s="22" t="s">
        <v>101</v>
      </c>
      <c r="H698" s="5">
        <v>7142.86</v>
      </c>
      <c r="I698" s="22" t="s">
        <v>681</v>
      </c>
      <c r="J698" s="5" t="s">
        <v>102</v>
      </c>
    </row>
    <row r="699" spans="1:10" ht="30">
      <c r="A699" s="27" t="s">
        <v>2279</v>
      </c>
      <c r="B699" s="22" t="s">
        <v>2280</v>
      </c>
      <c r="C699" s="22" t="s">
        <v>58</v>
      </c>
      <c r="D699" s="22" t="s">
        <v>2281</v>
      </c>
      <c r="E699" s="22" t="s">
        <v>100</v>
      </c>
      <c r="F699" s="22">
        <v>200</v>
      </c>
      <c r="G699" s="22" t="s">
        <v>101</v>
      </c>
      <c r="H699" s="5">
        <v>39285.71</v>
      </c>
      <c r="I699" s="22" t="s">
        <v>681</v>
      </c>
      <c r="J699" s="5" t="s">
        <v>102</v>
      </c>
    </row>
    <row r="700" spans="1:10" ht="30">
      <c r="A700" s="27" t="s">
        <v>2282</v>
      </c>
      <c r="B700" s="22" t="s">
        <v>2283</v>
      </c>
      <c r="C700" s="22" t="s">
        <v>58</v>
      </c>
      <c r="D700" s="22" t="s">
        <v>2283</v>
      </c>
      <c r="E700" s="22" t="s">
        <v>100</v>
      </c>
      <c r="F700" s="22">
        <v>6000</v>
      </c>
      <c r="G700" s="22" t="s">
        <v>101</v>
      </c>
      <c r="H700" s="5">
        <v>171428.57</v>
      </c>
      <c r="I700" s="22" t="s">
        <v>681</v>
      </c>
      <c r="J700" s="5" t="s">
        <v>102</v>
      </c>
    </row>
    <row r="701" spans="1:10" ht="30">
      <c r="A701" s="27" t="s">
        <v>2284</v>
      </c>
      <c r="B701" s="22" t="s">
        <v>1253</v>
      </c>
      <c r="C701" s="22" t="s">
        <v>58</v>
      </c>
      <c r="D701" s="22" t="s">
        <v>2285</v>
      </c>
      <c r="E701" s="22" t="s">
        <v>100</v>
      </c>
      <c r="F701" s="22">
        <v>300</v>
      </c>
      <c r="G701" s="22" t="s">
        <v>101</v>
      </c>
      <c r="H701" s="5">
        <v>14732.14</v>
      </c>
      <c r="I701" s="22" t="s">
        <v>681</v>
      </c>
      <c r="J701" s="5" t="s">
        <v>102</v>
      </c>
    </row>
    <row r="702" spans="1:10" ht="30">
      <c r="A702" s="27" t="s">
        <v>2286</v>
      </c>
      <c r="B702" s="22" t="s">
        <v>2287</v>
      </c>
      <c r="C702" s="22" t="s">
        <v>58</v>
      </c>
      <c r="D702" s="22" t="s">
        <v>2287</v>
      </c>
      <c r="E702" s="22" t="s">
        <v>100</v>
      </c>
      <c r="F702" s="22">
        <v>500</v>
      </c>
      <c r="G702" s="22" t="s">
        <v>101</v>
      </c>
      <c r="H702" s="5">
        <v>82142.86</v>
      </c>
      <c r="I702" s="22" t="s">
        <v>681</v>
      </c>
      <c r="J702" s="5" t="s">
        <v>102</v>
      </c>
    </row>
    <row r="703" spans="1:10" ht="30">
      <c r="A703" s="27" t="s">
        <v>2288</v>
      </c>
      <c r="B703" s="22" t="s">
        <v>2289</v>
      </c>
      <c r="C703" s="22" t="s">
        <v>58</v>
      </c>
      <c r="D703" s="22" t="s">
        <v>2290</v>
      </c>
      <c r="E703" s="22" t="s">
        <v>100</v>
      </c>
      <c r="F703" s="22">
        <v>570</v>
      </c>
      <c r="G703" s="22" t="s">
        <v>101</v>
      </c>
      <c r="H703" s="5">
        <v>203571.43</v>
      </c>
      <c r="I703" s="22" t="s">
        <v>681</v>
      </c>
      <c r="J703" s="5" t="s">
        <v>102</v>
      </c>
    </row>
    <row r="704" spans="1:10" ht="30">
      <c r="A704" s="27" t="s">
        <v>2291</v>
      </c>
      <c r="B704" s="22" t="s">
        <v>2292</v>
      </c>
      <c r="C704" s="22" t="s">
        <v>58</v>
      </c>
      <c r="D704" s="22" t="s">
        <v>2292</v>
      </c>
      <c r="E704" s="22" t="s">
        <v>100</v>
      </c>
      <c r="F704" s="22">
        <v>500</v>
      </c>
      <c r="G704" s="22" t="s">
        <v>101</v>
      </c>
      <c r="H704" s="5">
        <v>87053.57</v>
      </c>
      <c r="I704" s="22" t="s">
        <v>681</v>
      </c>
      <c r="J704" s="5" t="s">
        <v>102</v>
      </c>
    </row>
    <row r="705" spans="1:10" ht="30">
      <c r="A705" s="27" t="s">
        <v>2293</v>
      </c>
      <c r="B705" s="22" t="s">
        <v>2294</v>
      </c>
      <c r="C705" s="22" t="s">
        <v>58</v>
      </c>
      <c r="D705" s="22" t="s">
        <v>2294</v>
      </c>
      <c r="E705" s="22" t="s">
        <v>100</v>
      </c>
      <c r="F705" s="22">
        <v>150</v>
      </c>
      <c r="G705" s="22" t="s">
        <v>101</v>
      </c>
      <c r="H705" s="5">
        <v>4687.5</v>
      </c>
      <c r="I705" s="22" t="s">
        <v>681</v>
      </c>
      <c r="J705" s="5" t="s">
        <v>102</v>
      </c>
    </row>
    <row r="706" spans="1:10" ht="30">
      <c r="A706" s="27" t="s">
        <v>2295</v>
      </c>
      <c r="B706" s="22" t="s">
        <v>2296</v>
      </c>
      <c r="C706" s="22" t="s">
        <v>58</v>
      </c>
      <c r="D706" s="22" t="s">
        <v>2297</v>
      </c>
      <c r="E706" s="22" t="s">
        <v>100</v>
      </c>
      <c r="F706" s="22">
        <v>250</v>
      </c>
      <c r="G706" s="22" t="s">
        <v>101</v>
      </c>
      <c r="H706" s="5">
        <f>234375-150000</f>
        <v>84375</v>
      </c>
      <c r="I706" s="22" t="s">
        <v>681</v>
      </c>
      <c r="J706" s="5" t="s">
        <v>102</v>
      </c>
    </row>
    <row r="707" spans="1:10" ht="30">
      <c r="A707" s="27" t="s">
        <v>2298</v>
      </c>
      <c r="B707" s="22" t="s">
        <v>395</v>
      </c>
      <c r="C707" s="22" t="s">
        <v>58</v>
      </c>
      <c r="D707" s="22" t="s">
        <v>11</v>
      </c>
      <c r="E707" s="22" t="s">
        <v>100</v>
      </c>
      <c r="F707" s="22">
        <v>400</v>
      </c>
      <c r="G707" s="22" t="s">
        <v>101</v>
      </c>
      <c r="H707" s="5">
        <v>51785.71</v>
      </c>
      <c r="I707" s="22" t="s">
        <v>681</v>
      </c>
      <c r="J707" s="5" t="s">
        <v>102</v>
      </c>
    </row>
    <row r="708" spans="1:10" ht="30">
      <c r="A708" s="27" t="s">
        <v>2299</v>
      </c>
      <c r="B708" s="22" t="s">
        <v>395</v>
      </c>
      <c r="C708" s="22" t="s">
        <v>58</v>
      </c>
      <c r="D708" s="22" t="s">
        <v>12</v>
      </c>
      <c r="E708" s="22" t="s">
        <v>100</v>
      </c>
      <c r="F708" s="22">
        <v>100</v>
      </c>
      <c r="G708" s="22" t="s">
        <v>101</v>
      </c>
      <c r="H708" s="5">
        <v>6249.9999999999991</v>
      </c>
      <c r="I708" s="22" t="s">
        <v>681</v>
      </c>
      <c r="J708" s="5" t="s">
        <v>102</v>
      </c>
    </row>
    <row r="709" spans="1:10" ht="30">
      <c r="A709" s="27" t="s">
        <v>2300</v>
      </c>
      <c r="B709" s="22" t="s">
        <v>2301</v>
      </c>
      <c r="C709" s="22" t="s">
        <v>58</v>
      </c>
      <c r="D709" s="22" t="s">
        <v>2301</v>
      </c>
      <c r="E709" s="22" t="s">
        <v>100</v>
      </c>
      <c r="F709" s="22">
        <v>600</v>
      </c>
      <c r="G709" s="22" t="s">
        <v>101</v>
      </c>
      <c r="H709" s="5">
        <v>91071.43</v>
      </c>
      <c r="I709" s="22" t="s">
        <v>681</v>
      </c>
      <c r="J709" s="5" t="s">
        <v>102</v>
      </c>
    </row>
    <row r="710" spans="1:10" ht="30">
      <c r="A710" s="27" t="s">
        <v>2302</v>
      </c>
      <c r="B710" s="22" t="s">
        <v>2303</v>
      </c>
      <c r="C710" s="22" t="s">
        <v>58</v>
      </c>
      <c r="D710" s="22" t="s">
        <v>2303</v>
      </c>
      <c r="E710" s="22" t="s">
        <v>100</v>
      </c>
      <c r="F710" s="22">
        <v>3000</v>
      </c>
      <c r="G710" s="22" t="s">
        <v>101</v>
      </c>
      <c r="H710" s="5">
        <v>48214.29</v>
      </c>
      <c r="I710" s="22" t="s">
        <v>681</v>
      </c>
      <c r="J710" s="5" t="s">
        <v>102</v>
      </c>
    </row>
    <row r="711" spans="1:10" ht="30">
      <c r="A711" s="27" t="s">
        <v>2304</v>
      </c>
      <c r="B711" s="22" t="s">
        <v>2305</v>
      </c>
      <c r="C711" s="22" t="s">
        <v>58</v>
      </c>
      <c r="D711" s="22" t="s">
        <v>2305</v>
      </c>
      <c r="E711" s="22" t="s">
        <v>100</v>
      </c>
      <c r="F711" s="22">
        <v>400</v>
      </c>
      <c r="G711" s="22" t="s">
        <v>101</v>
      </c>
      <c r="H711" s="5">
        <v>32142.86</v>
      </c>
      <c r="I711" s="22" t="s">
        <v>681</v>
      </c>
      <c r="J711" s="5" t="s">
        <v>102</v>
      </c>
    </row>
    <row r="712" spans="1:10" ht="30">
      <c r="A712" s="27" t="s">
        <v>2306</v>
      </c>
      <c r="B712" s="22" t="s">
        <v>2307</v>
      </c>
      <c r="C712" s="22" t="s">
        <v>58</v>
      </c>
      <c r="D712" s="22" t="s">
        <v>2308</v>
      </c>
      <c r="E712" s="22" t="s">
        <v>100</v>
      </c>
      <c r="F712" s="22">
        <v>300</v>
      </c>
      <c r="G712" s="22" t="s">
        <v>101</v>
      </c>
      <c r="H712" s="5">
        <v>8839.2900000000009</v>
      </c>
      <c r="I712" s="22" t="s">
        <v>681</v>
      </c>
      <c r="J712" s="5" t="s">
        <v>102</v>
      </c>
    </row>
    <row r="713" spans="1:10" ht="30">
      <c r="A713" s="27" t="s">
        <v>3153</v>
      </c>
      <c r="B713" s="22" t="s">
        <v>3154</v>
      </c>
      <c r="C713" s="22" t="s">
        <v>59</v>
      </c>
      <c r="D713" s="22" t="s">
        <v>3154</v>
      </c>
      <c r="E713" s="22" t="s">
        <v>100</v>
      </c>
      <c r="F713" s="22">
        <v>1</v>
      </c>
      <c r="G713" s="22" t="s">
        <v>101</v>
      </c>
      <c r="H713" s="5">
        <v>53571.43</v>
      </c>
      <c r="I713" s="22" t="s">
        <v>679</v>
      </c>
      <c r="J713" s="5" t="s">
        <v>102</v>
      </c>
    </row>
    <row r="714" spans="1:10" ht="45">
      <c r="A714" s="27" t="s">
        <v>3155</v>
      </c>
      <c r="B714" s="22" t="s">
        <v>3156</v>
      </c>
      <c r="C714" s="22" t="s">
        <v>59</v>
      </c>
      <c r="D714" s="22" t="s">
        <v>3156</v>
      </c>
      <c r="E714" s="22" t="s">
        <v>100</v>
      </c>
      <c r="F714" s="22">
        <v>1</v>
      </c>
      <c r="G714" s="22" t="s">
        <v>101</v>
      </c>
      <c r="H714" s="5">
        <v>107142.86</v>
      </c>
      <c r="I714" s="22" t="s">
        <v>679</v>
      </c>
      <c r="J714" s="5" t="s">
        <v>102</v>
      </c>
    </row>
    <row r="715" spans="1:10" ht="30">
      <c r="A715" s="27" t="s">
        <v>3157</v>
      </c>
      <c r="B715" s="22" t="s">
        <v>3158</v>
      </c>
      <c r="C715" s="22" t="s">
        <v>59</v>
      </c>
      <c r="D715" s="22" t="s">
        <v>3158</v>
      </c>
      <c r="E715" s="22" t="s">
        <v>100</v>
      </c>
      <c r="F715" s="22">
        <v>6</v>
      </c>
      <c r="G715" s="22" t="s">
        <v>101</v>
      </c>
      <c r="H715" s="5">
        <v>230357.14</v>
      </c>
      <c r="I715" s="22" t="s">
        <v>679</v>
      </c>
      <c r="J715" s="5" t="s">
        <v>102</v>
      </c>
    </row>
    <row r="716" spans="1:10">
      <c r="A716" s="27" t="s">
        <v>1536</v>
      </c>
      <c r="B716" s="12" t="s">
        <v>396</v>
      </c>
      <c r="C716" s="4" t="s">
        <v>58</v>
      </c>
      <c r="D716" s="3" t="s">
        <v>396</v>
      </c>
      <c r="E716" s="4" t="s">
        <v>578</v>
      </c>
      <c r="F716" s="4" t="s">
        <v>578</v>
      </c>
      <c r="G716" s="4" t="s">
        <v>125</v>
      </c>
      <c r="H716" s="18">
        <f>SUM(H717:H1448)</f>
        <v>6566399.9957142873</v>
      </c>
      <c r="I716" s="22" t="s">
        <v>578</v>
      </c>
      <c r="J716" s="5" t="s">
        <v>102</v>
      </c>
    </row>
    <row r="717" spans="1:10" ht="31.5">
      <c r="A717" s="48" t="s">
        <v>1537</v>
      </c>
      <c r="B717" s="22" t="s">
        <v>603</v>
      </c>
      <c r="C717" s="4" t="s">
        <v>58</v>
      </c>
      <c r="D717" s="22" t="s">
        <v>603</v>
      </c>
      <c r="E717" s="31" t="s">
        <v>604</v>
      </c>
      <c r="F717" s="32">
        <v>1000</v>
      </c>
      <c r="G717" s="22" t="s">
        <v>1037</v>
      </c>
      <c r="H717" s="16">
        <v>1056975.71</v>
      </c>
      <c r="I717" s="30" t="s">
        <v>681</v>
      </c>
      <c r="J717" s="5" t="s">
        <v>102</v>
      </c>
    </row>
    <row r="718" spans="1:10" ht="31.5">
      <c r="A718" s="48" t="s">
        <v>1538</v>
      </c>
      <c r="B718" s="22" t="s">
        <v>603</v>
      </c>
      <c r="C718" s="4" t="s">
        <v>58</v>
      </c>
      <c r="D718" s="22" t="s">
        <v>603</v>
      </c>
      <c r="E718" s="31" t="s">
        <v>604</v>
      </c>
      <c r="F718" s="32">
        <v>250</v>
      </c>
      <c r="G718" s="22" t="s">
        <v>211</v>
      </c>
      <c r="H718" s="33">
        <v>0</v>
      </c>
      <c r="I718" s="30" t="s">
        <v>681</v>
      </c>
      <c r="J718" s="5" t="s">
        <v>102</v>
      </c>
    </row>
    <row r="719" spans="1:10" ht="31.5">
      <c r="A719" s="48" t="s">
        <v>1539</v>
      </c>
      <c r="B719" s="22" t="s">
        <v>603</v>
      </c>
      <c r="C719" s="4" t="s">
        <v>58</v>
      </c>
      <c r="D719" s="22" t="s">
        <v>603</v>
      </c>
      <c r="E719" s="31" t="s">
        <v>604</v>
      </c>
      <c r="F719" s="32">
        <v>200</v>
      </c>
      <c r="G719" s="22" t="s">
        <v>1038</v>
      </c>
      <c r="H719" s="33">
        <v>0</v>
      </c>
      <c r="I719" s="30" t="s">
        <v>681</v>
      </c>
      <c r="J719" s="5" t="s">
        <v>102</v>
      </c>
    </row>
    <row r="720" spans="1:10" ht="31.5">
      <c r="A720" s="48" t="s">
        <v>1540</v>
      </c>
      <c r="B720" s="22" t="s">
        <v>603</v>
      </c>
      <c r="C720" s="4" t="s">
        <v>58</v>
      </c>
      <c r="D720" s="22" t="s">
        <v>603</v>
      </c>
      <c r="E720" s="31" t="s">
        <v>604</v>
      </c>
      <c r="F720" s="32">
        <v>220</v>
      </c>
      <c r="G720" s="22" t="s">
        <v>1039</v>
      </c>
      <c r="H720" s="33">
        <v>0</v>
      </c>
      <c r="I720" s="30" t="s">
        <v>681</v>
      </c>
      <c r="J720" s="5" t="s">
        <v>102</v>
      </c>
    </row>
    <row r="721" spans="1:10" ht="31.5">
      <c r="A721" s="48" t="s">
        <v>1541</v>
      </c>
      <c r="B721" s="22" t="s">
        <v>603</v>
      </c>
      <c r="C721" s="4" t="s">
        <v>58</v>
      </c>
      <c r="D721" s="22" t="s">
        <v>603</v>
      </c>
      <c r="E721" s="31" t="s">
        <v>604</v>
      </c>
      <c r="F721" s="32">
        <v>240</v>
      </c>
      <c r="G721" s="22" t="s">
        <v>1040</v>
      </c>
      <c r="H721" s="33">
        <v>0</v>
      </c>
      <c r="I721" s="30" t="s">
        <v>681</v>
      </c>
      <c r="J721" s="5" t="s">
        <v>102</v>
      </c>
    </row>
    <row r="722" spans="1:10" ht="31.5">
      <c r="A722" s="48" t="s">
        <v>1542</v>
      </c>
      <c r="B722" s="22" t="s">
        <v>603</v>
      </c>
      <c r="C722" s="4" t="s">
        <v>58</v>
      </c>
      <c r="D722" s="22" t="s">
        <v>603</v>
      </c>
      <c r="E722" s="31" t="s">
        <v>604</v>
      </c>
      <c r="F722" s="32">
        <v>250</v>
      </c>
      <c r="G722" s="22" t="s">
        <v>1041</v>
      </c>
      <c r="H722" s="33">
        <v>0</v>
      </c>
      <c r="I722" s="30" t="s">
        <v>681</v>
      </c>
      <c r="J722" s="5" t="s">
        <v>102</v>
      </c>
    </row>
    <row r="723" spans="1:10" ht="31.5">
      <c r="A723" s="48" t="s">
        <v>1543</v>
      </c>
      <c r="B723" s="22" t="s">
        <v>603</v>
      </c>
      <c r="C723" s="4" t="s">
        <v>58</v>
      </c>
      <c r="D723" s="22" t="s">
        <v>603</v>
      </c>
      <c r="E723" s="31" t="s">
        <v>604</v>
      </c>
      <c r="F723" s="32">
        <v>400</v>
      </c>
      <c r="G723" s="22" t="s">
        <v>1062</v>
      </c>
      <c r="H723" s="33">
        <v>0</v>
      </c>
      <c r="I723" s="30" t="s">
        <v>681</v>
      </c>
      <c r="J723" s="5" t="s">
        <v>102</v>
      </c>
    </row>
    <row r="724" spans="1:10" ht="31.5">
      <c r="A724" s="48" t="s">
        <v>1544</v>
      </c>
      <c r="B724" s="22" t="s">
        <v>603</v>
      </c>
      <c r="C724" s="4" t="s">
        <v>58</v>
      </c>
      <c r="D724" s="22" t="s">
        <v>603</v>
      </c>
      <c r="E724" s="31" t="s">
        <v>604</v>
      </c>
      <c r="F724" s="32">
        <v>150</v>
      </c>
      <c r="G724" s="22" t="s">
        <v>251</v>
      </c>
      <c r="H724" s="33">
        <v>0</v>
      </c>
      <c r="I724" s="30" t="s">
        <v>681</v>
      </c>
      <c r="J724" s="5" t="s">
        <v>102</v>
      </c>
    </row>
    <row r="725" spans="1:10" ht="31.5">
      <c r="A725" s="48" t="s">
        <v>1545</v>
      </c>
      <c r="B725" s="22" t="s">
        <v>603</v>
      </c>
      <c r="C725" s="4" t="s">
        <v>58</v>
      </c>
      <c r="D725" s="22" t="s">
        <v>603</v>
      </c>
      <c r="E725" s="31" t="s">
        <v>604</v>
      </c>
      <c r="F725" s="32">
        <v>250</v>
      </c>
      <c r="G725" s="22" t="s">
        <v>1042</v>
      </c>
      <c r="H725" s="33">
        <v>0</v>
      </c>
      <c r="I725" s="30" t="s">
        <v>681</v>
      </c>
      <c r="J725" s="5" t="s">
        <v>102</v>
      </c>
    </row>
    <row r="726" spans="1:10" ht="31.5">
      <c r="A726" s="48" t="s">
        <v>1546</v>
      </c>
      <c r="B726" s="22" t="s">
        <v>603</v>
      </c>
      <c r="C726" s="4" t="s">
        <v>58</v>
      </c>
      <c r="D726" s="22" t="s">
        <v>603</v>
      </c>
      <c r="E726" s="31" t="s">
        <v>604</v>
      </c>
      <c r="F726" s="32">
        <v>50</v>
      </c>
      <c r="G726" s="22" t="s">
        <v>252</v>
      </c>
      <c r="H726" s="33">
        <v>0</v>
      </c>
      <c r="I726" s="30" t="s">
        <v>681</v>
      </c>
      <c r="J726" s="5" t="s">
        <v>102</v>
      </c>
    </row>
    <row r="727" spans="1:10" ht="45">
      <c r="A727" s="48" t="s">
        <v>1547</v>
      </c>
      <c r="B727" s="22" t="s">
        <v>603</v>
      </c>
      <c r="C727" s="4" t="s">
        <v>58</v>
      </c>
      <c r="D727" s="22" t="s">
        <v>603</v>
      </c>
      <c r="E727" s="31" t="s">
        <v>604</v>
      </c>
      <c r="F727" s="32">
        <v>220</v>
      </c>
      <c r="G727" s="22" t="s">
        <v>1043</v>
      </c>
      <c r="H727" s="33">
        <v>0</v>
      </c>
      <c r="I727" s="30" t="s">
        <v>681</v>
      </c>
      <c r="J727" s="5" t="s">
        <v>102</v>
      </c>
    </row>
    <row r="728" spans="1:10" ht="31.5">
      <c r="A728" s="48" t="s">
        <v>1548</v>
      </c>
      <c r="B728" s="22" t="s">
        <v>603</v>
      </c>
      <c r="C728" s="4" t="s">
        <v>58</v>
      </c>
      <c r="D728" s="22" t="s">
        <v>603</v>
      </c>
      <c r="E728" s="31" t="s">
        <v>604</v>
      </c>
      <c r="F728" s="32">
        <v>200</v>
      </c>
      <c r="G728" s="22" t="s">
        <v>1044</v>
      </c>
      <c r="H728" s="33">
        <v>0</v>
      </c>
      <c r="I728" s="30" t="s">
        <v>681</v>
      </c>
      <c r="J728" s="5" t="s">
        <v>102</v>
      </c>
    </row>
    <row r="729" spans="1:10" ht="31.5">
      <c r="A729" s="48" t="s">
        <v>1549</v>
      </c>
      <c r="B729" s="22" t="s">
        <v>603</v>
      </c>
      <c r="C729" s="4" t="s">
        <v>58</v>
      </c>
      <c r="D729" s="22" t="s">
        <v>603</v>
      </c>
      <c r="E729" s="31" t="s">
        <v>604</v>
      </c>
      <c r="F729" s="32">
        <v>200</v>
      </c>
      <c r="G729" s="22" t="s">
        <v>1045</v>
      </c>
      <c r="H729" s="33">
        <v>0</v>
      </c>
      <c r="I729" s="30" t="s">
        <v>681</v>
      </c>
      <c r="J729" s="5" t="s">
        <v>102</v>
      </c>
    </row>
    <row r="730" spans="1:10" ht="60">
      <c r="A730" s="48" t="s">
        <v>1550</v>
      </c>
      <c r="B730" s="22" t="s">
        <v>603</v>
      </c>
      <c r="C730" s="4" t="s">
        <v>58</v>
      </c>
      <c r="D730" s="22" t="s">
        <v>603</v>
      </c>
      <c r="E730" s="31" t="s">
        <v>604</v>
      </c>
      <c r="F730" s="32">
        <v>200</v>
      </c>
      <c r="G730" s="22" t="s">
        <v>1063</v>
      </c>
      <c r="H730" s="33">
        <v>0</v>
      </c>
      <c r="I730" s="30" t="s">
        <v>681</v>
      </c>
      <c r="J730" s="5" t="s">
        <v>102</v>
      </c>
    </row>
    <row r="731" spans="1:10" ht="31.5">
      <c r="A731" s="48" t="s">
        <v>1551</v>
      </c>
      <c r="B731" s="22" t="s">
        <v>603</v>
      </c>
      <c r="C731" s="4" t="s">
        <v>58</v>
      </c>
      <c r="D731" s="22" t="s">
        <v>603</v>
      </c>
      <c r="E731" s="31" t="s">
        <v>604</v>
      </c>
      <c r="F731" s="32">
        <v>200</v>
      </c>
      <c r="G731" s="22" t="s">
        <v>1046</v>
      </c>
      <c r="H731" s="33">
        <v>0</v>
      </c>
      <c r="I731" s="30" t="s">
        <v>681</v>
      </c>
      <c r="J731" s="5" t="s">
        <v>102</v>
      </c>
    </row>
    <row r="732" spans="1:10" ht="31.5">
      <c r="A732" s="48" t="s">
        <v>1552</v>
      </c>
      <c r="B732" s="22" t="s">
        <v>603</v>
      </c>
      <c r="C732" s="4" t="s">
        <v>58</v>
      </c>
      <c r="D732" s="22" t="s">
        <v>603</v>
      </c>
      <c r="E732" s="31" t="s">
        <v>604</v>
      </c>
      <c r="F732" s="32">
        <v>300</v>
      </c>
      <c r="G732" s="22" t="s">
        <v>229</v>
      </c>
      <c r="H732" s="33">
        <v>0</v>
      </c>
      <c r="I732" s="30" t="s">
        <v>681</v>
      </c>
      <c r="J732" s="5" t="s">
        <v>102</v>
      </c>
    </row>
    <row r="733" spans="1:10" ht="45">
      <c r="A733" s="48" t="s">
        <v>1553</v>
      </c>
      <c r="B733" s="22" t="s">
        <v>603</v>
      </c>
      <c r="C733" s="4" t="s">
        <v>58</v>
      </c>
      <c r="D733" s="22" t="s">
        <v>603</v>
      </c>
      <c r="E733" s="31" t="s">
        <v>604</v>
      </c>
      <c r="F733" s="32">
        <v>250</v>
      </c>
      <c r="G733" s="22" t="s">
        <v>1047</v>
      </c>
      <c r="H733" s="33">
        <v>0</v>
      </c>
      <c r="I733" s="30" t="s">
        <v>681</v>
      </c>
      <c r="J733" s="5" t="s">
        <v>102</v>
      </c>
    </row>
    <row r="734" spans="1:10" ht="31.5">
      <c r="A734" s="48" t="s">
        <v>1554</v>
      </c>
      <c r="B734" s="22" t="s">
        <v>603</v>
      </c>
      <c r="C734" s="4" t="s">
        <v>58</v>
      </c>
      <c r="D734" s="22" t="s">
        <v>603</v>
      </c>
      <c r="E734" s="31" t="s">
        <v>604</v>
      </c>
      <c r="F734" s="32">
        <v>300</v>
      </c>
      <c r="G734" s="22" t="s">
        <v>385</v>
      </c>
      <c r="H734" s="33">
        <v>0</v>
      </c>
      <c r="I734" s="30" t="s">
        <v>681</v>
      </c>
      <c r="J734" s="5" t="s">
        <v>102</v>
      </c>
    </row>
    <row r="735" spans="1:10" ht="60">
      <c r="A735" s="27" t="s">
        <v>2309</v>
      </c>
      <c r="B735" s="17" t="s">
        <v>2310</v>
      </c>
      <c r="C735" s="4" t="s">
        <v>58</v>
      </c>
      <c r="D735" s="22" t="s">
        <v>2311</v>
      </c>
      <c r="E735" s="22" t="s">
        <v>604</v>
      </c>
      <c r="F735" s="22">
        <v>127</v>
      </c>
      <c r="G735" s="22" t="s">
        <v>211</v>
      </c>
      <c r="H735" s="5">
        <v>151785.71428571426</v>
      </c>
      <c r="I735" s="49" t="s">
        <v>681</v>
      </c>
      <c r="J735" s="5" t="s">
        <v>102</v>
      </c>
    </row>
    <row r="736" spans="1:10" ht="30">
      <c r="A736" s="27" t="s">
        <v>2312</v>
      </c>
      <c r="B736" s="22" t="s">
        <v>2313</v>
      </c>
      <c r="C736" s="4" t="s">
        <v>58</v>
      </c>
      <c r="D736" s="22" t="s">
        <v>2313</v>
      </c>
      <c r="E736" s="22" t="s">
        <v>100</v>
      </c>
      <c r="F736" s="22">
        <v>50</v>
      </c>
      <c r="G736" s="22" t="s">
        <v>211</v>
      </c>
      <c r="H736" s="5">
        <v>1785.7142857142853</v>
      </c>
      <c r="I736" s="49" t="s">
        <v>681</v>
      </c>
      <c r="J736" s="5" t="s">
        <v>102</v>
      </c>
    </row>
    <row r="737" spans="1:10" ht="30">
      <c r="A737" s="27" t="s">
        <v>2314</v>
      </c>
      <c r="B737" s="17" t="s">
        <v>2276</v>
      </c>
      <c r="C737" s="4" t="s">
        <v>58</v>
      </c>
      <c r="D737" s="22" t="s">
        <v>2315</v>
      </c>
      <c r="E737" s="22" t="s">
        <v>2316</v>
      </c>
      <c r="F737" s="22">
        <v>5</v>
      </c>
      <c r="G737" s="22" t="s">
        <v>211</v>
      </c>
      <c r="H737" s="5">
        <v>4499.9999999999991</v>
      </c>
      <c r="I737" s="49" t="s">
        <v>681</v>
      </c>
      <c r="J737" s="5" t="s">
        <v>102</v>
      </c>
    </row>
    <row r="738" spans="1:10" ht="30">
      <c r="A738" s="27" t="s">
        <v>2317</v>
      </c>
      <c r="B738" s="22" t="s">
        <v>2180</v>
      </c>
      <c r="C738" s="4" t="s">
        <v>58</v>
      </c>
      <c r="D738" s="22" t="s">
        <v>2318</v>
      </c>
      <c r="E738" s="22" t="s">
        <v>100</v>
      </c>
      <c r="F738" s="22">
        <v>200</v>
      </c>
      <c r="G738" s="22" t="s">
        <v>211</v>
      </c>
      <c r="H738" s="5">
        <v>13392.857142857141</v>
      </c>
      <c r="I738" s="49" t="s">
        <v>681</v>
      </c>
      <c r="J738" s="5" t="s">
        <v>102</v>
      </c>
    </row>
    <row r="739" spans="1:10" ht="30">
      <c r="A739" s="27" t="s">
        <v>2319</v>
      </c>
      <c r="B739" s="22" t="s">
        <v>1253</v>
      </c>
      <c r="C739" s="4" t="s">
        <v>58</v>
      </c>
      <c r="D739" s="22" t="s">
        <v>2320</v>
      </c>
      <c r="E739" s="22" t="s">
        <v>100</v>
      </c>
      <c r="F739" s="22">
        <v>5</v>
      </c>
      <c r="G739" s="22" t="s">
        <v>211</v>
      </c>
      <c r="H739" s="5">
        <v>1366.0714285714284</v>
      </c>
      <c r="I739" s="49" t="s">
        <v>681</v>
      </c>
      <c r="J739" s="5" t="s">
        <v>102</v>
      </c>
    </row>
    <row r="740" spans="1:10" ht="30">
      <c r="A740" s="27" t="s">
        <v>2321</v>
      </c>
      <c r="B740" s="22" t="s">
        <v>2287</v>
      </c>
      <c r="C740" s="4" t="s">
        <v>58</v>
      </c>
      <c r="D740" s="22" t="s">
        <v>2322</v>
      </c>
      <c r="E740" s="22" t="s">
        <v>100</v>
      </c>
      <c r="F740" s="22">
        <v>4</v>
      </c>
      <c r="G740" s="22" t="s">
        <v>211</v>
      </c>
      <c r="H740" s="5">
        <v>1692.8571428571427</v>
      </c>
      <c r="I740" s="49" t="s">
        <v>681</v>
      </c>
      <c r="J740" s="5" t="s">
        <v>102</v>
      </c>
    </row>
    <row r="741" spans="1:10" ht="30">
      <c r="A741" s="27" t="s">
        <v>2323</v>
      </c>
      <c r="B741" s="22" t="s">
        <v>1253</v>
      </c>
      <c r="C741" s="4" t="s">
        <v>58</v>
      </c>
      <c r="D741" s="22" t="s">
        <v>2324</v>
      </c>
      <c r="E741" s="22" t="s">
        <v>100</v>
      </c>
      <c r="F741" s="22">
        <v>2</v>
      </c>
      <c r="G741" s="22" t="s">
        <v>211</v>
      </c>
      <c r="H741" s="5">
        <v>2646.4285714285711</v>
      </c>
      <c r="I741" s="49" t="s">
        <v>681</v>
      </c>
      <c r="J741" s="5" t="s">
        <v>102</v>
      </c>
    </row>
    <row r="742" spans="1:10" ht="30">
      <c r="A742" s="27" t="s">
        <v>2325</v>
      </c>
      <c r="B742" s="22" t="s">
        <v>2326</v>
      </c>
      <c r="C742" s="4" t="s">
        <v>58</v>
      </c>
      <c r="D742" s="22" t="s">
        <v>2326</v>
      </c>
      <c r="E742" s="22" t="s">
        <v>100</v>
      </c>
      <c r="F742" s="22">
        <v>30</v>
      </c>
      <c r="G742" s="22" t="s">
        <v>211</v>
      </c>
      <c r="H742" s="5">
        <v>385.71428571428567</v>
      </c>
      <c r="I742" s="49" t="s">
        <v>681</v>
      </c>
      <c r="J742" s="5" t="s">
        <v>102</v>
      </c>
    </row>
    <row r="743" spans="1:10" ht="30">
      <c r="A743" s="27" t="s">
        <v>2327</v>
      </c>
      <c r="B743" s="22" t="s">
        <v>2280</v>
      </c>
      <c r="C743" s="4" t="s">
        <v>58</v>
      </c>
      <c r="D743" s="22" t="s">
        <v>2280</v>
      </c>
      <c r="E743" s="22" t="s">
        <v>100</v>
      </c>
      <c r="F743" s="22">
        <v>5</v>
      </c>
      <c r="G743" s="22" t="s">
        <v>211</v>
      </c>
      <c r="H743" s="5">
        <v>1419.6428571428569</v>
      </c>
      <c r="I743" s="49" t="s">
        <v>681</v>
      </c>
      <c r="J743" s="5" t="s">
        <v>102</v>
      </c>
    </row>
    <row r="744" spans="1:10" ht="30">
      <c r="A744" s="27" t="s">
        <v>2328</v>
      </c>
      <c r="B744" s="22" t="s">
        <v>2203</v>
      </c>
      <c r="C744" s="4" t="s">
        <v>58</v>
      </c>
      <c r="D744" s="22" t="s">
        <v>2204</v>
      </c>
      <c r="E744" s="22" t="s">
        <v>100</v>
      </c>
      <c r="F744" s="22">
        <v>10</v>
      </c>
      <c r="G744" s="22" t="s">
        <v>211</v>
      </c>
      <c r="H744" s="5">
        <v>1499.9999999999998</v>
      </c>
      <c r="I744" s="49" t="s">
        <v>681</v>
      </c>
      <c r="J744" s="5" t="s">
        <v>102</v>
      </c>
    </row>
    <row r="745" spans="1:10" ht="30">
      <c r="A745" s="27" t="s">
        <v>2329</v>
      </c>
      <c r="B745" s="22" t="s">
        <v>2330</v>
      </c>
      <c r="C745" s="4" t="s">
        <v>58</v>
      </c>
      <c r="D745" s="22" t="s">
        <v>2330</v>
      </c>
      <c r="E745" s="22" t="s">
        <v>100</v>
      </c>
      <c r="F745" s="22">
        <v>4</v>
      </c>
      <c r="G745" s="22" t="s">
        <v>211</v>
      </c>
      <c r="H745" s="5">
        <v>214.28571428571428</v>
      </c>
      <c r="I745" s="49" t="s">
        <v>681</v>
      </c>
      <c r="J745" s="5" t="s">
        <v>102</v>
      </c>
    </row>
    <row r="746" spans="1:10" ht="30">
      <c r="A746" s="27" t="s">
        <v>2331</v>
      </c>
      <c r="B746" s="22" t="s">
        <v>2332</v>
      </c>
      <c r="C746" s="4" t="s">
        <v>58</v>
      </c>
      <c r="D746" s="22" t="s">
        <v>2333</v>
      </c>
      <c r="E746" s="22" t="s">
        <v>100</v>
      </c>
      <c r="F746" s="22">
        <v>10</v>
      </c>
      <c r="G746" s="22" t="s">
        <v>211</v>
      </c>
      <c r="H746" s="5">
        <v>857.14285714285711</v>
      </c>
      <c r="I746" s="49" t="s">
        <v>681</v>
      </c>
      <c r="J746" s="5" t="s">
        <v>102</v>
      </c>
    </row>
    <row r="747" spans="1:10" ht="30">
      <c r="A747" s="27" t="s">
        <v>2334</v>
      </c>
      <c r="B747" s="22" t="s">
        <v>2335</v>
      </c>
      <c r="C747" s="4" t="s">
        <v>58</v>
      </c>
      <c r="D747" s="22" t="s">
        <v>2336</v>
      </c>
      <c r="E747" s="22" t="s">
        <v>100</v>
      </c>
      <c r="F747" s="22">
        <v>15</v>
      </c>
      <c r="G747" s="22" t="s">
        <v>211</v>
      </c>
      <c r="H747" s="5">
        <v>3549.1071428571427</v>
      </c>
      <c r="I747" s="49" t="s">
        <v>681</v>
      </c>
      <c r="J747" s="5" t="s">
        <v>102</v>
      </c>
    </row>
    <row r="748" spans="1:10" ht="30">
      <c r="A748" s="27" t="s">
        <v>2337</v>
      </c>
      <c r="B748" s="22" t="s">
        <v>395</v>
      </c>
      <c r="C748" s="4" t="s">
        <v>58</v>
      </c>
      <c r="D748" s="22" t="s">
        <v>2338</v>
      </c>
      <c r="E748" s="22" t="s">
        <v>100</v>
      </c>
      <c r="F748" s="22">
        <v>5</v>
      </c>
      <c r="G748" s="22" t="s">
        <v>211</v>
      </c>
      <c r="H748" s="5">
        <v>191.96428571428569</v>
      </c>
      <c r="I748" s="49" t="s">
        <v>681</v>
      </c>
      <c r="J748" s="5" t="s">
        <v>102</v>
      </c>
    </row>
    <row r="749" spans="1:10" ht="30">
      <c r="A749" s="27" t="s">
        <v>2339</v>
      </c>
      <c r="B749" s="22" t="s">
        <v>2340</v>
      </c>
      <c r="C749" s="4" t="s">
        <v>58</v>
      </c>
      <c r="D749" s="22" t="s">
        <v>2341</v>
      </c>
      <c r="E749" s="22" t="s">
        <v>2342</v>
      </c>
      <c r="F749" s="22">
        <v>5</v>
      </c>
      <c r="G749" s="22" t="s">
        <v>211</v>
      </c>
      <c r="H749" s="5">
        <v>1124.9999999999998</v>
      </c>
      <c r="I749" s="49" t="s">
        <v>681</v>
      </c>
      <c r="J749" s="5" t="s">
        <v>102</v>
      </c>
    </row>
    <row r="750" spans="1:10" ht="30">
      <c r="A750" s="27" t="s">
        <v>2343</v>
      </c>
      <c r="B750" s="22" t="s">
        <v>2344</v>
      </c>
      <c r="C750" s="4" t="s">
        <v>58</v>
      </c>
      <c r="D750" s="22" t="s">
        <v>2344</v>
      </c>
      <c r="E750" s="22" t="s">
        <v>100</v>
      </c>
      <c r="F750" s="22">
        <v>10</v>
      </c>
      <c r="G750" s="22" t="s">
        <v>211</v>
      </c>
      <c r="H750" s="5">
        <v>9214.2857142857138</v>
      </c>
      <c r="I750" s="49" t="s">
        <v>681</v>
      </c>
      <c r="J750" s="5" t="s">
        <v>102</v>
      </c>
    </row>
    <row r="751" spans="1:10" ht="30">
      <c r="A751" s="27" t="s">
        <v>2345</v>
      </c>
      <c r="B751" s="22" t="s">
        <v>2346</v>
      </c>
      <c r="C751" s="4" t="s">
        <v>58</v>
      </c>
      <c r="D751" s="22" t="s">
        <v>2346</v>
      </c>
      <c r="E751" s="22" t="s">
        <v>100</v>
      </c>
      <c r="F751" s="22">
        <v>10</v>
      </c>
      <c r="G751" s="22" t="s">
        <v>211</v>
      </c>
      <c r="H751" s="5">
        <v>6374.9999999999991</v>
      </c>
      <c r="I751" s="49" t="s">
        <v>681</v>
      </c>
      <c r="J751" s="5" t="s">
        <v>102</v>
      </c>
    </row>
    <row r="752" spans="1:10" ht="30">
      <c r="A752" s="27" t="s">
        <v>2347</v>
      </c>
      <c r="B752" s="22" t="s">
        <v>2348</v>
      </c>
      <c r="C752" s="4" t="s">
        <v>58</v>
      </c>
      <c r="D752" s="22" t="s">
        <v>2348</v>
      </c>
      <c r="E752" s="22" t="s">
        <v>100</v>
      </c>
      <c r="F752" s="22">
        <v>30</v>
      </c>
      <c r="G752" s="22" t="s">
        <v>211</v>
      </c>
      <c r="H752" s="5">
        <v>23169.642857142855</v>
      </c>
      <c r="I752" s="49" t="s">
        <v>681</v>
      </c>
      <c r="J752" s="5" t="s">
        <v>102</v>
      </c>
    </row>
    <row r="753" spans="1:10" ht="45">
      <c r="A753" s="27" t="s">
        <v>2349</v>
      </c>
      <c r="B753" s="17" t="s">
        <v>603</v>
      </c>
      <c r="C753" s="4" t="s">
        <v>58</v>
      </c>
      <c r="D753" s="22" t="s">
        <v>2350</v>
      </c>
      <c r="E753" s="22" t="s">
        <v>604</v>
      </c>
      <c r="F753" s="22">
        <v>127</v>
      </c>
      <c r="G753" s="22" t="s">
        <v>216</v>
      </c>
      <c r="H753" s="5">
        <v>151785.71428571426</v>
      </c>
      <c r="I753" s="49" t="s">
        <v>681</v>
      </c>
      <c r="J753" s="5" t="s">
        <v>102</v>
      </c>
    </row>
    <row r="754" spans="1:10" ht="30">
      <c r="A754" s="27" t="s">
        <v>2351</v>
      </c>
      <c r="B754" s="22" t="s">
        <v>2352</v>
      </c>
      <c r="C754" s="4" t="s">
        <v>58</v>
      </c>
      <c r="D754" s="22" t="s">
        <v>2353</v>
      </c>
      <c r="E754" s="22" t="s">
        <v>100</v>
      </c>
      <c r="F754" s="22">
        <v>100</v>
      </c>
      <c r="G754" s="22" t="s">
        <v>216</v>
      </c>
      <c r="H754" s="5">
        <v>5892.8571428571422</v>
      </c>
      <c r="I754" s="49" t="s">
        <v>681</v>
      </c>
      <c r="J754" s="5" t="s">
        <v>102</v>
      </c>
    </row>
    <row r="755" spans="1:10" ht="30">
      <c r="A755" s="27" t="s">
        <v>2354</v>
      </c>
      <c r="B755" s="17" t="s">
        <v>2355</v>
      </c>
      <c r="C755" s="4" t="s">
        <v>58</v>
      </c>
      <c r="D755" s="22" t="s">
        <v>2356</v>
      </c>
      <c r="E755" s="22" t="s">
        <v>100</v>
      </c>
      <c r="F755" s="22">
        <v>11</v>
      </c>
      <c r="G755" s="22" t="s">
        <v>216</v>
      </c>
      <c r="H755" s="5">
        <v>8357.1428571428569</v>
      </c>
      <c r="I755" s="49" t="s">
        <v>681</v>
      </c>
      <c r="J755" s="5" t="s">
        <v>102</v>
      </c>
    </row>
    <row r="756" spans="1:10" ht="30">
      <c r="A756" s="27" t="s">
        <v>2357</v>
      </c>
      <c r="B756" s="22" t="s">
        <v>2355</v>
      </c>
      <c r="C756" s="4" t="s">
        <v>58</v>
      </c>
      <c r="D756" s="22" t="s">
        <v>2358</v>
      </c>
      <c r="E756" s="22" t="s">
        <v>100</v>
      </c>
      <c r="F756" s="22">
        <v>10</v>
      </c>
      <c r="G756" s="22" t="s">
        <v>216</v>
      </c>
      <c r="H756" s="5">
        <v>5303.5714285714275</v>
      </c>
      <c r="I756" s="49" t="s">
        <v>681</v>
      </c>
      <c r="J756" s="5" t="s">
        <v>102</v>
      </c>
    </row>
    <row r="757" spans="1:10" ht="30">
      <c r="A757" s="27" t="s">
        <v>2359</v>
      </c>
      <c r="B757" s="22" t="s">
        <v>397</v>
      </c>
      <c r="C757" s="4" t="s">
        <v>58</v>
      </c>
      <c r="D757" s="22" t="s">
        <v>2360</v>
      </c>
      <c r="E757" s="22" t="s">
        <v>100</v>
      </c>
      <c r="F757" s="22">
        <v>10</v>
      </c>
      <c r="G757" s="22" t="s">
        <v>216</v>
      </c>
      <c r="H757" s="5">
        <v>7178.5714285714275</v>
      </c>
      <c r="I757" s="49" t="s">
        <v>681</v>
      </c>
      <c r="J757" s="5" t="s">
        <v>102</v>
      </c>
    </row>
    <row r="758" spans="1:10" ht="30">
      <c r="A758" s="27" t="s">
        <v>2361</v>
      </c>
      <c r="B758" s="22" t="s">
        <v>2362</v>
      </c>
      <c r="C758" s="4" t="s">
        <v>58</v>
      </c>
      <c r="D758" s="22" t="s">
        <v>2363</v>
      </c>
      <c r="E758" s="22" t="s">
        <v>100</v>
      </c>
      <c r="F758" s="22">
        <v>20</v>
      </c>
      <c r="G758" s="22" t="s">
        <v>216</v>
      </c>
      <c r="H758" s="5">
        <v>535.71428571428567</v>
      </c>
      <c r="I758" s="49" t="s">
        <v>681</v>
      </c>
      <c r="J758" s="5" t="s">
        <v>102</v>
      </c>
    </row>
    <row r="759" spans="1:10" ht="30">
      <c r="A759" s="27" t="s">
        <v>2364</v>
      </c>
      <c r="B759" s="17" t="s">
        <v>2276</v>
      </c>
      <c r="C759" s="4" t="s">
        <v>58</v>
      </c>
      <c r="D759" s="22" t="s">
        <v>2315</v>
      </c>
      <c r="E759" s="22" t="s">
        <v>2316</v>
      </c>
      <c r="F759" s="22">
        <v>9</v>
      </c>
      <c r="G759" s="22" t="s">
        <v>216</v>
      </c>
      <c r="H759" s="5">
        <v>7499.9999999999991</v>
      </c>
      <c r="I759" s="49" t="s">
        <v>681</v>
      </c>
      <c r="J759" s="5" t="s">
        <v>102</v>
      </c>
    </row>
    <row r="760" spans="1:10" ht="30">
      <c r="A760" s="27" t="s">
        <v>2365</v>
      </c>
      <c r="B760" s="22" t="s">
        <v>2180</v>
      </c>
      <c r="C760" s="4" t="s">
        <v>58</v>
      </c>
      <c r="D760" s="22" t="s">
        <v>2318</v>
      </c>
      <c r="E760" s="22" t="s">
        <v>100</v>
      </c>
      <c r="F760" s="22">
        <v>100</v>
      </c>
      <c r="G760" s="22" t="s">
        <v>216</v>
      </c>
      <c r="H760" s="5">
        <v>6696.4285714285706</v>
      </c>
      <c r="I760" s="49" t="s">
        <v>681</v>
      </c>
      <c r="J760" s="5" t="s">
        <v>102</v>
      </c>
    </row>
    <row r="761" spans="1:10" ht="30">
      <c r="A761" s="27" t="s">
        <v>2366</v>
      </c>
      <c r="B761" s="22" t="s">
        <v>2305</v>
      </c>
      <c r="C761" s="4" t="s">
        <v>58</v>
      </c>
      <c r="D761" s="22" t="s">
        <v>2305</v>
      </c>
      <c r="E761" s="22" t="s">
        <v>604</v>
      </c>
      <c r="F761" s="22">
        <v>20</v>
      </c>
      <c r="G761" s="22" t="s">
        <v>216</v>
      </c>
      <c r="H761" s="5">
        <v>3964.2857142857138</v>
      </c>
      <c r="I761" s="49" t="s">
        <v>681</v>
      </c>
      <c r="J761" s="5" t="s">
        <v>102</v>
      </c>
    </row>
    <row r="762" spans="1:10" ht="30">
      <c r="A762" s="27" t="s">
        <v>2367</v>
      </c>
      <c r="B762" s="22" t="s">
        <v>2238</v>
      </c>
      <c r="C762" s="4" t="s">
        <v>58</v>
      </c>
      <c r="D762" s="22" t="s">
        <v>2225</v>
      </c>
      <c r="E762" s="22" t="s">
        <v>604</v>
      </c>
      <c r="F762" s="22">
        <v>10</v>
      </c>
      <c r="G762" s="22" t="s">
        <v>216</v>
      </c>
      <c r="H762" s="5">
        <v>857.14285714285711</v>
      </c>
      <c r="I762" s="49" t="s">
        <v>681</v>
      </c>
      <c r="J762" s="5" t="s">
        <v>102</v>
      </c>
    </row>
    <row r="763" spans="1:10" ht="30">
      <c r="A763" s="27" t="s">
        <v>2368</v>
      </c>
      <c r="B763" s="22" t="s">
        <v>2369</v>
      </c>
      <c r="C763" s="4" t="s">
        <v>58</v>
      </c>
      <c r="D763" s="22" t="s">
        <v>2369</v>
      </c>
      <c r="E763" s="22" t="s">
        <v>604</v>
      </c>
      <c r="F763" s="22">
        <v>10</v>
      </c>
      <c r="G763" s="22" t="s">
        <v>216</v>
      </c>
      <c r="H763" s="5">
        <v>482.14285714285711</v>
      </c>
      <c r="I763" s="49" t="s">
        <v>681</v>
      </c>
      <c r="J763" s="5" t="s">
        <v>102</v>
      </c>
    </row>
    <row r="764" spans="1:10" ht="30">
      <c r="A764" s="27" t="s">
        <v>2370</v>
      </c>
      <c r="B764" s="22" t="s">
        <v>2335</v>
      </c>
      <c r="C764" s="4" t="s">
        <v>58</v>
      </c>
      <c r="D764" s="22" t="s">
        <v>2336</v>
      </c>
      <c r="E764" s="22" t="s">
        <v>100</v>
      </c>
      <c r="F764" s="22">
        <v>10</v>
      </c>
      <c r="G764" s="22" t="s">
        <v>216</v>
      </c>
      <c r="H764" s="5">
        <v>2366.0714285714284</v>
      </c>
      <c r="I764" s="49" t="s">
        <v>681</v>
      </c>
      <c r="J764" s="5" t="s">
        <v>102</v>
      </c>
    </row>
    <row r="765" spans="1:10" ht="30">
      <c r="A765" s="27" t="s">
        <v>2371</v>
      </c>
      <c r="B765" s="22" t="s">
        <v>395</v>
      </c>
      <c r="C765" s="4" t="s">
        <v>58</v>
      </c>
      <c r="D765" s="22" t="s">
        <v>2372</v>
      </c>
      <c r="E765" s="22" t="s">
        <v>100</v>
      </c>
      <c r="F765" s="22">
        <v>2</v>
      </c>
      <c r="G765" s="22" t="s">
        <v>216</v>
      </c>
      <c r="H765" s="5">
        <v>846.42857142857133</v>
      </c>
      <c r="I765" s="49" t="s">
        <v>681</v>
      </c>
      <c r="J765" s="5" t="s">
        <v>102</v>
      </c>
    </row>
    <row r="766" spans="1:10" ht="30">
      <c r="A766" s="27" t="s">
        <v>2373</v>
      </c>
      <c r="B766" s="22" t="s">
        <v>395</v>
      </c>
      <c r="C766" s="4" t="s">
        <v>58</v>
      </c>
      <c r="D766" s="22" t="s">
        <v>2374</v>
      </c>
      <c r="E766" s="22" t="s">
        <v>100</v>
      </c>
      <c r="F766" s="22">
        <v>2</v>
      </c>
      <c r="G766" s="22" t="s">
        <v>216</v>
      </c>
      <c r="H766" s="5">
        <v>514.28571428571422</v>
      </c>
      <c r="I766" s="49" t="s">
        <v>681</v>
      </c>
      <c r="J766" s="5" t="s">
        <v>102</v>
      </c>
    </row>
    <row r="767" spans="1:10" ht="30">
      <c r="A767" s="27" t="s">
        <v>2375</v>
      </c>
      <c r="B767" s="22" t="s">
        <v>395</v>
      </c>
      <c r="C767" s="4" t="s">
        <v>58</v>
      </c>
      <c r="D767" s="22" t="s">
        <v>2338</v>
      </c>
      <c r="E767" s="22" t="s">
        <v>100</v>
      </c>
      <c r="F767" s="22">
        <v>2</v>
      </c>
      <c r="G767" s="22" t="s">
        <v>216</v>
      </c>
      <c r="H767" s="5">
        <v>76.785714285714278</v>
      </c>
      <c r="I767" s="49" t="s">
        <v>681</v>
      </c>
      <c r="J767" s="5" t="s">
        <v>102</v>
      </c>
    </row>
    <row r="768" spans="1:10" ht="30">
      <c r="A768" s="27" t="s">
        <v>2376</v>
      </c>
      <c r="B768" s="22" t="s">
        <v>2377</v>
      </c>
      <c r="C768" s="4" t="s">
        <v>58</v>
      </c>
      <c r="D768" s="22" t="s">
        <v>2378</v>
      </c>
      <c r="E768" s="22" t="s">
        <v>100</v>
      </c>
      <c r="F768" s="22">
        <v>10</v>
      </c>
      <c r="G768" s="22" t="s">
        <v>216</v>
      </c>
      <c r="H768" s="5">
        <v>2625</v>
      </c>
      <c r="I768" s="49" t="s">
        <v>681</v>
      </c>
      <c r="J768" s="5" t="s">
        <v>102</v>
      </c>
    </row>
    <row r="769" spans="1:10" ht="30">
      <c r="A769" s="27" t="s">
        <v>2379</v>
      </c>
      <c r="B769" s="22" t="s">
        <v>2340</v>
      </c>
      <c r="C769" s="4" t="s">
        <v>58</v>
      </c>
      <c r="D769" s="22" t="s">
        <v>2341</v>
      </c>
      <c r="E769" s="22" t="s">
        <v>2342</v>
      </c>
      <c r="F769" s="22">
        <v>5</v>
      </c>
      <c r="G769" s="22" t="s">
        <v>216</v>
      </c>
      <c r="H769" s="5">
        <v>1124.9999999999998</v>
      </c>
      <c r="I769" s="49" t="s">
        <v>681</v>
      </c>
      <c r="J769" s="5" t="s">
        <v>102</v>
      </c>
    </row>
    <row r="770" spans="1:10" ht="30">
      <c r="A770" s="27" t="s">
        <v>2380</v>
      </c>
      <c r="B770" s="22" t="s">
        <v>2381</v>
      </c>
      <c r="C770" s="4" t="s">
        <v>58</v>
      </c>
      <c r="D770" s="22" t="s">
        <v>2381</v>
      </c>
      <c r="E770" s="22" t="s">
        <v>100</v>
      </c>
      <c r="F770" s="22">
        <v>10</v>
      </c>
      <c r="G770" s="22" t="s">
        <v>216</v>
      </c>
      <c r="H770" s="5">
        <v>14946.428571428571</v>
      </c>
      <c r="I770" s="49" t="s">
        <v>681</v>
      </c>
      <c r="J770" s="5" t="s">
        <v>102</v>
      </c>
    </row>
    <row r="771" spans="1:10" ht="30">
      <c r="A771" s="27" t="s">
        <v>2382</v>
      </c>
      <c r="B771" s="22" t="s">
        <v>2346</v>
      </c>
      <c r="C771" s="4" t="s">
        <v>58</v>
      </c>
      <c r="D771" s="22" t="s">
        <v>2346</v>
      </c>
      <c r="E771" s="22" t="s">
        <v>100</v>
      </c>
      <c r="F771" s="22">
        <v>6</v>
      </c>
      <c r="G771" s="22" t="s">
        <v>216</v>
      </c>
      <c r="H771" s="5">
        <v>3824.9999999999991</v>
      </c>
      <c r="I771" s="49" t="s">
        <v>681</v>
      </c>
      <c r="J771" s="5" t="s">
        <v>102</v>
      </c>
    </row>
    <row r="772" spans="1:10" ht="45">
      <c r="A772" s="27" t="s">
        <v>2383</v>
      </c>
      <c r="B772" s="17" t="s">
        <v>2384</v>
      </c>
      <c r="C772" s="4" t="s">
        <v>58</v>
      </c>
      <c r="D772" s="22" t="s">
        <v>2350</v>
      </c>
      <c r="E772" s="22" t="s">
        <v>604</v>
      </c>
      <c r="F772" s="22">
        <v>63</v>
      </c>
      <c r="G772" s="22" t="s">
        <v>217</v>
      </c>
      <c r="H772" s="5">
        <v>75892.85714285713</v>
      </c>
      <c r="I772" s="49" t="s">
        <v>681</v>
      </c>
      <c r="J772" s="5" t="s">
        <v>102</v>
      </c>
    </row>
    <row r="773" spans="1:10" ht="30">
      <c r="A773" s="27" t="s">
        <v>2385</v>
      </c>
      <c r="B773" s="22" t="s">
        <v>397</v>
      </c>
      <c r="C773" s="4" t="s">
        <v>58</v>
      </c>
      <c r="D773" s="22" t="s">
        <v>2360</v>
      </c>
      <c r="E773" s="22" t="s">
        <v>100</v>
      </c>
      <c r="F773" s="22">
        <v>20</v>
      </c>
      <c r="G773" s="22" t="s">
        <v>217</v>
      </c>
      <c r="H773" s="5">
        <v>14357.142857142855</v>
      </c>
      <c r="I773" s="49" t="s">
        <v>681</v>
      </c>
      <c r="J773" s="5" t="s">
        <v>102</v>
      </c>
    </row>
    <row r="774" spans="1:10" ht="30">
      <c r="A774" s="27" t="s">
        <v>2386</v>
      </c>
      <c r="B774" s="22" t="s">
        <v>2362</v>
      </c>
      <c r="C774" s="4" t="s">
        <v>58</v>
      </c>
      <c r="D774" s="22" t="s">
        <v>2363</v>
      </c>
      <c r="E774" s="22" t="s">
        <v>100</v>
      </c>
      <c r="F774" s="22">
        <v>50</v>
      </c>
      <c r="G774" s="22" t="s">
        <v>217</v>
      </c>
      <c r="H774" s="5">
        <v>1339.2857142857142</v>
      </c>
      <c r="I774" s="49" t="s">
        <v>681</v>
      </c>
      <c r="J774" s="5" t="s">
        <v>102</v>
      </c>
    </row>
    <row r="775" spans="1:10" ht="30">
      <c r="A775" s="27" t="s">
        <v>2387</v>
      </c>
      <c r="B775" s="22" t="s">
        <v>2388</v>
      </c>
      <c r="C775" s="4" t="s">
        <v>58</v>
      </c>
      <c r="D775" s="22" t="s">
        <v>2389</v>
      </c>
      <c r="E775" s="22" t="s">
        <v>100</v>
      </c>
      <c r="F775" s="22">
        <v>50</v>
      </c>
      <c r="G775" s="22" t="s">
        <v>217</v>
      </c>
      <c r="H775" s="5">
        <v>642.85714285714278</v>
      </c>
      <c r="I775" s="49" t="s">
        <v>681</v>
      </c>
      <c r="J775" s="5" t="s">
        <v>102</v>
      </c>
    </row>
    <row r="776" spans="1:10" ht="30">
      <c r="A776" s="27" t="s">
        <v>2390</v>
      </c>
      <c r="B776" s="17" t="s">
        <v>2276</v>
      </c>
      <c r="C776" s="4" t="s">
        <v>58</v>
      </c>
      <c r="D776" s="22" t="s">
        <v>2315</v>
      </c>
      <c r="E776" s="22" t="s">
        <v>2316</v>
      </c>
      <c r="F776" s="22">
        <v>9</v>
      </c>
      <c r="G776" s="22" t="s">
        <v>217</v>
      </c>
      <c r="H776" s="5">
        <v>7499.9999999999991</v>
      </c>
      <c r="I776" s="49" t="s">
        <v>681</v>
      </c>
      <c r="J776" s="5" t="s">
        <v>102</v>
      </c>
    </row>
    <row r="777" spans="1:10" ht="30">
      <c r="A777" s="27" t="s">
        <v>2391</v>
      </c>
      <c r="B777" s="22" t="s">
        <v>2180</v>
      </c>
      <c r="C777" s="4" t="s">
        <v>58</v>
      </c>
      <c r="D777" s="22" t="s">
        <v>2318</v>
      </c>
      <c r="E777" s="22" t="s">
        <v>100</v>
      </c>
      <c r="F777" s="22">
        <v>200</v>
      </c>
      <c r="G777" s="22" t="s">
        <v>217</v>
      </c>
      <c r="H777" s="5">
        <v>13392.857142857141</v>
      </c>
      <c r="I777" s="49" t="s">
        <v>681</v>
      </c>
      <c r="J777" s="5" t="s">
        <v>102</v>
      </c>
    </row>
    <row r="778" spans="1:10" ht="30">
      <c r="A778" s="27" t="s">
        <v>2392</v>
      </c>
      <c r="B778" s="22" t="s">
        <v>2180</v>
      </c>
      <c r="C778" s="4" t="s">
        <v>58</v>
      </c>
      <c r="D778" s="22" t="s">
        <v>2393</v>
      </c>
      <c r="E778" s="22" t="s">
        <v>100</v>
      </c>
      <c r="F778" s="22">
        <v>20</v>
      </c>
      <c r="G778" s="22" t="s">
        <v>217</v>
      </c>
      <c r="H778" s="5">
        <v>1999.9999999999998</v>
      </c>
      <c r="I778" s="49" t="s">
        <v>681</v>
      </c>
      <c r="J778" s="5" t="s">
        <v>102</v>
      </c>
    </row>
    <row r="779" spans="1:10" ht="30">
      <c r="A779" s="27" t="s">
        <v>2394</v>
      </c>
      <c r="B779" s="22" t="s">
        <v>1253</v>
      </c>
      <c r="C779" s="4" t="s">
        <v>58</v>
      </c>
      <c r="D779" s="22" t="s">
        <v>2320</v>
      </c>
      <c r="E779" s="22" t="s">
        <v>100</v>
      </c>
      <c r="F779" s="22">
        <v>30</v>
      </c>
      <c r="G779" s="22" t="s">
        <v>217</v>
      </c>
      <c r="H779" s="5">
        <v>8196.4285714285706</v>
      </c>
      <c r="I779" s="49" t="s">
        <v>681</v>
      </c>
      <c r="J779" s="5" t="s">
        <v>102</v>
      </c>
    </row>
    <row r="780" spans="1:10" ht="30">
      <c r="A780" s="27" t="s">
        <v>2395</v>
      </c>
      <c r="B780" s="22" t="s">
        <v>2396</v>
      </c>
      <c r="C780" s="4" t="s">
        <v>58</v>
      </c>
      <c r="D780" s="22" t="s">
        <v>2396</v>
      </c>
      <c r="E780" s="22" t="s">
        <v>100</v>
      </c>
      <c r="F780" s="22">
        <v>30</v>
      </c>
      <c r="G780" s="22" t="s">
        <v>217</v>
      </c>
      <c r="H780" s="5">
        <v>2732.1428571428569</v>
      </c>
      <c r="I780" s="49" t="s">
        <v>681</v>
      </c>
      <c r="J780" s="5" t="s">
        <v>102</v>
      </c>
    </row>
    <row r="781" spans="1:10" ht="30">
      <c r="A781" s="27" t="s">
        <v>2397</v>
      </c>
      <c r="B781" s="22" t="s">
        <v>2326</v>
      </c>
      <c r="C781" s="4" t="s">
        <v>58</v>
      </c>
      <c r="D781" s="22" t="s">
        <v>2326</v>
      </c>
      <c r="E781" s="22" t="s">
        <v>100</v>
      </c>
      <c r="F781" s="22">
        <v>30</v>
      </c>
      <c r="G781" s="22" t="s">
        <v>217</v>
      </c>
      <c r="H781" s="5">
        <v>385.71428571428567</v>
      </c>
      <c r="I781" s="49" t="s">
        <v>681</v>
      </c>
      <c r="J781" s="5" t="s">
        <v>102</v>
      </c>
    </row>
    <row r="782" spans="1:10" ht="30">
      <c r="A782" s="27" t="s">
        <v>2398</v>
      </c>
      <c r="B782" s="22" t="s">
        <v>2248</v>
      </c>
      <c r="C782" s="4" t="s">
        <v>58</v>
      </c>
      <c r="D782" s="22" t="s">
        <v>2248</v>
      </c>
      <c r="E782" s="22" t="s">
        <v>100</v>
      </c>
      <c r="F782" s="22">
        <v>10</v>
      </c>
      <c r="G782" s="22" t="s">
        <v>217</v>
      </c>
      <c r="H782" s="5">
        <v>857.14285714285711</v>
      </c>
      <c r="I782" s="49" t="s">
        <v>681</v>
      </c>
      <c r="J782" s="5" t="s">
        <v>102</v>
      </c>
    </row>
    <row r="783" spans="1:10" ht="30">
      <c r="A783" s="27" t="s">
        <v>2399</v>
      </c>
      <c r="B783" s="22" t="s">
        <v>2280</v>
      </c>
      <c r="C783" s="4" t="s">
        <v>58</v>
      </c>
      <c r="D783" s="22" t="s">
        <v>2280</v>
      </c>
      <c r="E783" s="22" t="s">
        <v>100</v>
      </c>
      <c r="F783" s="22">
        <v>10</v>
      </c>
      <c r="G783" s="22" t="s">
        <v>217</v>
      </c>
      <c r="H783" s="5">
        <v>2839.2857142857138</v>
      </c>
      <c r="I783" s="49" t="s">
        <v>681</v>
      </c>
      <c r="J783" s="5" t="s">
        <v>102</v>
      </c>
    </row>
    <row r="784" spans="1:10" ht="30">
      <c r="A784" s="27" t="s">
        <v>2400</v>
      </c>
      <c r="B784" s="22" t="s">
        <v>2401</v>
      </c>
      <c r="C784" s="4" t="s">
        <v>58</v>
      </c>
      <c r="D784" s="22" t="s">
        <v>2401</v>
      </c>
      <c r="E784" s="22" t="s">
        <v>100</v>
      </c>
      <c r="F784" s="22">
        <v>5</v>
      </c>
      <c r="G784" s="22" t="s">
        <v>217</v>
      </c>
      <c r="H784" s="5">
        <v>1446.4285714285713</v>
      </c>
      <c r="I784" s="49" t="s">
        <v>681</v>
      </c>
      <c r="J784" s="5" t="s">
        <v>102</v>
      </c>
    </row>
    <row r="785" spans="1:10" ht="30">
      <c r="A785" s="27" t="s">
        <v>2402</v>
      </c>
      <c r="B785" s="22" t="s">
        <v>2403</v>
      </c>
      <c r="C785" s="4" t="s">
        <v>58</v>
      </c>
      <c r="D785" s="22" t="s">
        <v>2403</v>
      </c>
      <c r="E785" s="22" t="s">
        <v>100</v>
      </c>
      <c r="F785" s="22">
        <v>10</v>
      </c>
      <c r="G785" s="22" t="s">
        <v>217</v>
      </c>
      <c r="H785" s="5">
        <v>1767.8571428571427</v>
      </c>
      <c r="I785" s="49" t="s">
        <v>681</v>
      </c>
      <c r="J785" s="5" t="s">
        <v>102</v>
      </c>
    </row>
    <row r="786" spans="1:10" ht="30">
      <c r="A786" s="27" t="s">
        <v>2404</v>
      </c>
      <c r="B786" s="22" t="s">
        <v>2405</v>
      </c>
      <c r="C786" s="4" t="s">
        <v>58</v>
      </c>
      <c r="D786" s="22" t="s">
        <v>2405</v>
      </c>
      <c r="E786" s="22" t="s">
        <v>100</v>
      </c>
      <c r="F786" s="22"/>
      <c r="G786" s="22" t="s">
        <v>217</v>
      </c>
      <c r="H786" s="5">
        <v>0</v>
      </c>
      <c r="I786" s="49" t="s">
        <v>681</v>
      </c>
      <c r="J786" s="5" t="s">
        <v>102</v>
      </c>
    </row>
    <row r="787" spans="1:10" ht="30">
      <c r="A787" s="27" t="s">
        <v>2406</v>
      </c>
      <c r="B787" s="22" t="s">
        <v>2171</v>
      </c>
      <c r="C787" s="4" t="s">
        <v>58</v>
      </c>
      <c r="D787" s="22" t="s">
        <v>2407</v>
      </c>
      <c r="E787" s="22" t="s">
        <v>100</v>
      </c>
      <c r="F787" s="22">
        <v>1</v>
      </c>
      <c r="G787" s="22" t="s">
        <v>217</v>
      </c>
      <c r="H787" s="5">
        <v>3874.9999999999995</v>
      </c>
      <c r="I787" s="49" t="s">
        <v>681</v>
      </c>
      <c r="J787" s="5" t="s">
        <v>102</v>
      </c>
    </row>
    <row r="788" spans="1:10" ht="30">
      <c r="A788" s="27" t="s">
        <v>2408</v>
      </c>
      <c r="B788" s="22" t="s">
        <v>2305</v>
      </c>
      <c r="C788" s="4" t="s">
        <v>58</v>
      </c>
      <c r="D788" s="22" t="s">
        <v>2305</v>
      </c>
      <c r="E788" s="22" t="s">
        <v>604</v>
      </c>
      <c r="F788" s="22">
        <v>20</v>
      </c>
      <c r="G788" s="22" t="s">
        <v>217</v>
      </c>
      <c r="H788" s="5">
        <v>3964.2857142857138</v>
      </c>
      <c r="I788" s="49" t="s">
        <v>681</v>
      </c>
      <c r="J788" s="5" t="s">
        <v>102</v>
      </c>
    </row>
    <row r="789" spans="1:10" ht="30">
      <c r="A789" s="27" t="s">
        <v>2409</v>
      </c>
      <c r="B789" s="22" t="s">
        <v>2238</v>
      </c>
      <c r="C789" s="4" t="s">
        <v>58</v>
      </c>
      <c r="D789" s="22" t="s">
        <v>2225</v>
      </c>
      <c r="E789" s="22" t="s">
        <v>604</v>
      </c>
      <c r="F789" s="22">
        <v>30</v>
      </c>
      <c r="G789" s="22" t="s">
        <v>217</v>
      </c>
      <c r="H789" s="5">
        <v>2571.4285714285711</v>
      </c>
      <c r="I789" s="49" t="s">
        <v>681</v>
      </c>
      <c r="J789" s="5" t="s">
        <v>102</v>
      </c>
    </row>
    <row r="790" spans="1:10" ht="30">
      <c r="A790" s="27" t="s">
        <v>2410</v>
      </c>
      <c r="B790" s="22" t="s">
        <v>2369</v>
      </c>
      <c r="C790" s="4" t="s">
        <v>58</v>
      </c>
      <c r="D790" s="22" t="s">
        <v>2369</v>
      </c>
      <c r="E790" s="22" t="s">
        <v>604</v>
      </c>
      <c r="F790" s="22">
        <v>30</v>
      </c>
      <c r="G790" s="22" t="s">
        <v>217</v>
      </c>
      <c r="H790" s="5">
        <v>1446.4285714285713</v>
      </c>
      <c r="I790" s="49" t="s">
        <v>681</v>
      </c>
      <c r="J790" s="5" t="s">
        <v>102</v>
      </c>
    </row>
    <row r="791" spans="1:10" ht="30">
      <c r="A791" s="27" t="s">
        <v>2411</v>
      </c>
      <c r="B791" s="22" t="s">
        <v>2233</v>
      </c>
      <c r="C791" s="4" t="s">
        <v>58</v>
      </c>
      <c r="D791" s="22" t="s">
        <v>2412</v>
      </c>
      <c r="E791" s="22" t="s">
        <v>100</v>
      </c>
      <c r="F791" s="22">
        <v>10</v>
      </c>
      <c r="G791" s="22" t="s">
        <v>217</v>
      </c>
      <c r="H791" s="5">
        <v>5142.8571428571422</v>
      </c>
      <c r="I791" s="49" t="s">
        <v>681</v>
      </c>
      <c r="J791" s="5" t="s">
        <v>102</v>
      </c>
    </row>
    <row r="792" spans="1:10" ht="30">
      <c r="A792" s="27" t="s">
        <v>2413</v>
      </c>
      <c r="B792" s="22" t="s">
        <v>2233</v>
      </c>
      <c r="C792" s="4" t="s">
        <v>58</v>
      </c>
      <c r="D792" s="22" t="s">
        <v>2414</v>
      </c>
      <c r="E792" s="22" t="s">
        <v>100</v>
      </c>
      <c r="F792" s="22">
        <v>10</v>
      </c>
      <c r="G792" s="22" t="s">
        <v>217</v>
      </c>
      <c r="H792" s="5">
        <v>7339.2857142857138</v>
      </c>
      <c r="I792" s="49" t="s">
        <v>681</v>
      </c>
      <c r="J792" s="5" t="s">
        <v>102</v>
      </c>
    </row>
    <row r="793" spans="1:10" ht="30">
      <c r="A793" s="27" t="s">
        <v>2415</v>
      </c>
      <c r="B793" s="22" t="s">
        <v>2174</v>
      </c>
      <c r="C793" s="4" t="s">
        <v>58</v>
      </c>
      <c r="D793" s="22" t="s">
        <v>2174</v>
      </c>
      <c r="E793" s="22" t="s">
        <v>100</v>
      </c>
      <c r="F793" s="22">
        <v>10</v>
      </c>
      <c r="G793" s="22" t="s">
        <v>217</v>
      </c>
      <c r="H793" s="5">
        <v>1339.2857142857142</v>
      </c>
      <c r="I793" s="49" t="s">
        <v>681</v>
      </c>
      <c r="J793" s="5" t="s">
        <v>102</v>
      </c>
    </row>
    <row r="794" spans="1:10" ht="30">
      <c r="A794" s="27" t="s">
        <v>2416</v>
      </c>
      <c r="B794" s="22" t="s">
        <v>2417</v>
      </c>
      <c r="C794" s="4" t="s">
        <v>58</v>
      </c>
      <c r="D794" s="22" t="s">
        <v>2418</v>
      </c>
      <c r="E794" s="22" t="s">
        <v>604</v>
      </c>
      <c r="F794" s="22">
        <v>10</v>
      </c>
      <c r="G794" s="22" t="s">
        <v>217</v>
      </c>
      <c r="H794" s="5">
        <v>1499.9999999999998</v>
      </c>
      <c r="I794" s="49" t="s">
        <v>681</v>
      </c>
      <c r="J794" s="5" t="s">
        <v>102</v>
      </c>
    </row>
    <row r="795" spans="1:10" ht="30">
      <c r="A795" s="27" t="s">
        <v>2419</v>
      </c>
      <c r="B795" s="22" t="s">
        <v>2417</v>
      </c>
      <c r="C795" s="4" t="s">
        <v>58</v>
      </c>
      <c r="D795" s="22" t="s">
        <v>2420</v>
      </c>
      <c r="E795" s="22" t="s">
        <v>604</v>
      </c>
      <c r="F795" s="22">
        <v>10</v>
      </c>
      <c r="G795" s="22" t="s">
        <v>217</v>
      </c>
      <c r="H795" s="5">
        <v>3857.1428571428569</v>
      </c>
      <c r="I795" s="49" t="s">
        <v>681</v>
      </c>
      <c r="J795" s="5" t="s">
        <v>102</v>
      </c>
    </row>
    <row r="796" spans="1:10" ht="30">
      <c r="A796" s="27" t="s">
        <v>2421</v>
      </c>
      <c r="B796" s="22" t="s">
        <v>2417</v>
      </c>
      <c r="C796" s="4" t="s">
        <v>58</v>
      </c>
      <c r="D796" s="22" t="s">
        <v>2422</v>
      </c>
      <c r="E796" s="22" t="s">
        <v>604</v>
      </c>
      <c r="F796" s="22">
        <v>10</v>
      </c>
      <c r="G796" s="22" t="s">
        <v>217</v>
      </c>
      <c r="H796" s="5">
        <v>6374.9999999999991</v>
      </c>
      <c r="I796" s="49" t="s">
        <v>681</v>
      </c>
      <c r="J796" s="5" t="s">
        <v>102</v>
      </c>
    </row>
    <row r="797" spans="1:10" ht="30">
      <c r="A797" s="27" t="s">
        <v>2423</v>
      </c>
      <c r="B797" s="22" t="s">
        <v>2203</v>
      </c>
      <c r="C797" s="4" t="s">
        <v>58</v>
      </c>
      <c r="D797" s="22" t="s">
        <v>2204</v>
      </c>
      <c r="E797" s="22" t="s">
        <v>100</v>
      </c>
      <c r="F797" s="22">
        <v>30</v>
      </c>
      <c r="G797" s="22" t="s">
        <v>217</v>
      </c>
      <c r="H797" s="5">
        <v>4499.9999999999991</v>
      </c>
      <c r="I797" s="49" t="s">
        <v>681</v>
      </c>
      <c r="J797" s="5" t="s">
        <v>102</v>
      </c>
    </row>
    <row r="798" spans="1:10" ht="30">
      <c r="A798" s="27" t="s">
        <v>2424</v>
      </c>
      <c r="B798" s="22" t="s">
        <v>2332</v>
      </c>
      <c r="C798" s="4" t="s">
        <v>58</v>
      </c>
      <c r="D798" s="22" t="s">
        <v>2333</v>
      </c>
      <c r="E798" s="22" t="s">
        <v>100</v>
      </c>
      <c r="F798" s="22">
        <v>50</v>
      </c>
      <c r="G798" s="22" t="s">
        <v>217</v>
      </c>
      <c r="H798" s="5">
        <v>4285.7142857142853</v>
      </c>
      <c r="I798" s="49" t="s">
        <v>681</v>
      </c>
      <c r="J798" s="5" t="s">
        <v>102</v>
      </c>
    </row>
    <row r="799" spans="1:10" ht="30">
      <c r="A799" s="27" t="s">
        <v>2425</v>
      </c>
      <c r="B799" s="22" t="s">
        <v>2335</v>
      </c>
      <c r="C799" s="4" t="s">
        <v>58</v>
      </c>
      <c r="D799" s="22" t="s">
        <v>2336</v>
      </c>
      <c r="E799" s="22" t="s">
        <v>100</v>
      </c>
      <c r="F799" s="22">
        <v>50</v>
      </c>
      <c r="G799" s="22" t="s">
        <v>217</v>
      </c>
      <c r="H799" s="5">
        <v>11830.357142857141</v>
      </c>
      <c r="I799" s="49" t="s">
        <v>681</v>
      </c>
      <c r="J799" s="5" t="s">
        <v>102</v>
      </c>
    </row>
    <row r="800" spans="1:10" ht="30">
      <c r="A800" s="27" t="s">
        <v>2426</v>
      </c>
      <c r="B800" s="22" t="s">
        <v>2427</v>
      </c>
      <c r="C800" s="4" t="s">
        <v>58</v>
      </c>
      <c r="D800" s="22" t="s">
        <v>2427</v>
      </c>
      <c r="E800" s="22" t="s">
        <v>100</v>
      </c>
      <c r="F800" s="22">
        <v>4</v>
      </c>
      <c r="G800" s="22" t="s">
        <v>217</v>
      </c>
      <c r="H800" s="5">
        <v>7499.9999999999991</v>
      </c>
      <c r="I800" s="49" t="s">
        <v>681</v>
      </c>
      <c r="J800" s="5" t="s">
        <v>102</v>
      </c>
    </row>
    <row r="801" spans="1:10" ht="30">
      <c r="A801" s="27" t="s">
        <v>2428</v>
      </c>
      <c r="B801" s="22" t="s">
        <v>443</v>
      </c>
      <c r="C801" s="4" t="s">
        <v>58</v>
      </c>
      <c r="D801" s="22" t="s">
        <v>2215</v>
      </c>
      <c r="E801" s="22" t="s">
        <v>100</v>
      </c>
      <c r="F801" s="22">
        <v>5</v>
      </c>
      <c r="G801" s="22" t="s">
        <v>217</v>
      </c>
      <c r="H801" s="5">
        <v>723.21428571428567</v>
      </c>
      <c r="I801" s="49" t="s">
        <v>681</v>
      </c>
      <c r="J801" s="5" t="s">
        <v>102</v>
      </c>
    </row>
    <row r="802" spans="1:10" ht="30">
      <c r="A802" s="27" t="s">
        <v>2429</v>
      </c>
      <c r="B802" s="22" t="s">
        <v>2430</v>
      </c>
      <c r="C802" s="4" t="s">
        <v>58</v>
      </c>
      <c r="D802" s="22" t="s">
        <v>2431</v>
      </c>
      <c r="E802" s="22" t="s">
        <v>100</v>
      </c>
      <c r="F802" s="22">
        <v>5</v>
      </c>
      <c r="G802" s="22" t="s">
        <v>217</v>
      </c>
      <c r="H802" s="5">
        <v>1660.7142857142856</v>
      </c>
      <c r="I802" s="49" t="s">
        <v>681</v>
      </c>
      <c r="J802" s="5" t="s">
        <v>102</v>
      </c>
    </row>
    <row r="803" spans="1:10" ht="30">
      <c r="A803" s="27" t="s">
        <v>2432</v>
      </c>
      <c r="B803" s="22" t="s">
        <v>2270</v>
      </c>
      <c r="C803" s="4" t="s">
        <v>58</v>
      </c>
      <c r="D803" s="22" t="s">
        <v>2271</v>
      </c>
      <c r="E803" s="22" t="s">
        <v>100</v>
      </c>
      <c r="F803" s="22">
        <v>6</v>
      </c>
      <c r="G803" s="22" t="s">
        <v>217</v>
      </c>
      <c r="H803" s="5">
        <v>11571.428571428571</v>
      </c>
      <c r="I803" s="49" t="s">
        <v>681</v>
      </c>
      <c r="J803" s="5" t="s">
        <v>102</v>
      </c>
    </row>
    <row r="804" spans="1:10" ht="30">
      <c r="A804" s="27" t="s">
        <v>2433</v>
      </c>
      <c r="B804" s="22" t="s">
        <v>395</v>
      </c>
      <c r="C804" s="4" t="s">
        <v>58</v>
      </c>
      <c r="D804" s="22" t="s">
        <v>2374</v>
      </c>
      <c r="E804" s="22" t="s">
        <v>100</v>
      </c>
      <c r="F804" s="22">
        <v>30</v>
      </c>
      <c r="G804" s="22" t="s">
        <v>217</v>
      </c>
      <c r="H804" s="5">
        <v>7714.2857142857138</v>
      </c>
      <c r="I804" s="49" t="s">
        <v>681</v>
      </c>
      <c r="J804" s="5" t="s">
        <v>102</v>
      </c>
    </row>
    <row r="805" spans="1:10" ht="30">
      <c r="A805" s="27" t="s">
        <v>2434</v>
      </c>
      <c r="B805" s="22" t="s">
        <v>395</v>
      </c>
      <c r="C805" s="4" t="s">
        <v>58</v>
      </c>
      <c r="D805" s="22" t="s">
        <v>2338</v>
      </c>
      <c r="E805" s="22" t="s">
        <v>100</v>
      </c>
      <c r="F805" s="22">
        <v>30</v>
      </c>
      <c r="G805" s="22" t="s">
        <v>217</v>
      </c>
      <c r="H805" s="5">
        <v>1151.7857142857142</v>
      </c>
      <c r="I805" s="49" t="s">
        <v>681</v>
      </c>
      <c r="J805" s="5" t="s">
        <v>102</v>
      </c>
    </row>
    <row r="806" spans="1:10" ht="30">
      <c r="A806" s="27" t="s">
        <v>2435</v>
      </c>
      <c r="B806" s="22" t="s">
        <v>2377</v>
      </c>
      <c r="C806" s="4" t="s">
        <v>58</v>
      </c>
      <c r="D806" s="22" t="s">
        <v>2378</v>
      </c>
      <c r="E806" s="22" t="s">
        <v>100</v>
      </c>
      <c r="F806" s="22">
        <v>20</v>
      </c>
      <c r="G806" s="22" t="s">
        <v>217</v>
      </c>
      <c r="H806" s="5">
        <v>5250</v>
      </c>
      <c r="I806" s="49" t="s">
        <v>681</v>
      </c>
      <c r="J806" s="5" t="s">
        <v>102</v>
      </c>
    </row>
    <row r="807" spans="1:10" ht="30">
      <c r="A807" s="27" t="s">
        <v>2436</v>
      </c>
      <c r="B807" s="22" t="s">
        <v>2437</v>
      </c>
      <c r="C807" s="4" t="s">
        <v>58</v>
      </c>
      <c r="D807" s="22" t="s">
        <v>2438</v>
      </c>
      <c r="E807" s="22" t="s">
        <v>100</v>
      </c>
      <c r="F807" s="22">
        <v>4</v>
      </c>
      <c r="G807" s="22" t="s">
        <v>217</v>
      </c>
      <c r="H807" s="5">
        <v>749.99999999999989</v>
      </c>
      <c r="I807" s="49" t="s">
        <v>681</v>
      </c>
      <c r="J807" s="5" t="s">
        <v>102</v>
      </c>
    </row>
    <row r="808" spans="1:10" ht="30">
      <c r="A808" s="27" t="s">
        <v>2439</v>
      </c>
      <c r="B808" s="22" t="s">
        <v>2440</v>
      </c>
      <c r="C808" s="4" t="s">
        <v>58</v>
      </c>
      <c r="D808" s="22" t="s">
        <v>2440</v>
      </c>
      <c r="E808" s="22" t="s">
        <v>100</v>
      </c>
      <c r="F808" s="22">
        <v>10</v>
      </c>
      <c r="G808" s="22" t="s">
        <v>217</v>
      </c>
      <c r="H808" s="5">
        <v>5035.7142857142853</v>
      </c>
      <c r="I808" s="49" t="s">
        <v>681</v>
      </c>
      <c r="J808" s="5" t="s">
        <v>102</v>
      </c>
    </row>
    <row r="809" spans="1:10" ht="30">
      <c r="A809" s="27" t="s">
        <v>2441</v>
      </c>
      <c r="B809" s="22" t="s">
        <v>2381</v>
      </c>
      <c r="C809" s="4" t="s">
        <v>58</v>
      </c>
      <c r="D809" s="22" t="s">
        <v>2381</v>
      </c>
      <c r="E809" s="22" t="s">
        <v>100</v>
      </c>
      <c r="F809" s="22">
        <v>10</v>
      </c>
      <c r="G809" s="22" t="s">
        <v>217</v>
      </c>
      <c r="H809" s="5">
        <v>14946.428571428571</v>
      </c>
      <c r="I809" s="49" t="s">
        <v>681</v>
      </c>
      <c r="J809" s="5" t="s">
        <v>102</v>
      </c>
    </row>
    <row r="810" spans="1:10" ht="30">
      <c r="A810" s="27" t="s">
        <v>2442</v>
      </c>
      <c r="B810" s="22" t="s">
        <v>2346</v>
      </c>
      <c r="C810" s="4" t="s">
        <v>58</v>
      </c>
      <c r="D810" s="22" t="s">
        <v>2346</v>
      </c>
      <c r="E810" s="22" t="s">
        <v>100</v>
      </c>
      <c r="F810" s="22">
        <v>15</v>
      </c>
      <c r="G810" s="22" t="s">
        <v>217</v>
      </c>
      <c r="H810" s="5">
        <v>9562.4999999999982</v>
      </c>
      <c r="I810" s="49" t="s">
        <v>681</v>
      </c>
      <c r="J810" s="5" t="s">
        <v>102</v>
      </c>
    </row>
    <row r="811" spans="1:10" ht="30">
      <c r="A811" s="27" t="s">
        <v>2443</v>
      </c>
      <c r="B811" s="22" t="s">
        <v>2444</v>
      </c>
      <c r="C811" s="4" t="s">
        <v>58</v>
      </c>
      <c r="D811" s="22" t="s">
        <v>2444</v>
      </c>
      <c r="E811" s="22" t="s">
        <v>100</v>
      </c>
      <c r="F811" s="22">
        <v>28</v>
      </c>
      <c r="G811" s="22" t="s">
        <v>217</v>
      </c>
      <c r="H811" s="5">
        <v>7299.9999999999982</v>
      </c>
      <c r="I811" s="49" t="s">
        <v>681</v>
      </c>
      <c r="J811" s="5" t="s">
        <v>102</v>
      </c>
    </row>
    <row r="812" spans="1:10" ht="30">
      <c r="A812" s="27" t="s">
        <v>2445</v>
      </c>
      <c r="B812" s="22" t="s">
        <v>2348</v>
      </c>
      <c r="C812" s="4" t="s">
        <v>58</v>
      </c>
      <c r="D812" s="22" t="s">
        <v>2348</v>
      </c>
      <c r="E812" s="22" t="s">
        <v>100</v>
      </c>
      <c r="F812" s="22">
        <v>28</v>
      </c>
      <c r="G812" s="22" t="s">
        <v>217</v>
      </c>
      <c r="H812" s="5">
        <v>21624.999999999996</v>
      </c>
      <c r="I812" s="49" t="s">
        <v>681</v>
      </c>
      <c r="J812" s="5" t="s">
        <v>102</v>
      </c>
    </row>
    <row r="813" spans="1:10" ht="45">
      <c r="A813" s="27" t="s">
        <v>2446</v>
      </c>
      <c r="B813" s="22" t="s">
        <v>2447</v>
      </c>
      <c r="C813" s="4" t="s">
        <v>58</v>
      </c>
      <c r="D813" s="22" t="s">
        <v>2448</v>
      </c>
      <c r="E813" s="22" t="s">
        <v>100</v>
      </c>
      <c r="F813" s="22">
        <v>2</v>
      </c>
      <c r="G813" s="22" t="s">
        <v>217</v>
      </c>
      <c r="H813" s="5">
        <v>2357.1428571428569</v>
      </c>
      <c r="I813" s="49" t="s">
        <v>681</v>
      </c>
      <c r="J813" s="5" t="s">
        <v>102</v>
      </c>
    </row>
    <row r="814" spans="1:10" ht="30">
      <c r="A814" s="27" t="s">
        <v>2449</v>
      </c>
      <c r="B814" s="22" t="s">
        <v>2450</v>
      </c>
      <c r="C814" s="4" t="s">
        <v>58</v>
      </c>
      <c r="D814" s="22" t="s">
        <v>2450</v>
      </c>
      <c r="E814" s="22" t="s">
        <v>100</v>
      </c>
      <c r="F814" s="22">
        <v>10</v>
      </c>
      <c r="G814" s="22" t="s">
        <v>217</v>
      </c>
      <c r="H814" s="5">
        <v>1044.6428571428571</v>
      </c>
      <c r="I814" s="49" t="s">
        <v>681</v>
      </c>
      <c r="J814" s="5" t="s">
        <v>102</v>
      </c>
    </row>
    <row r="815" spans="1:10" ht="30">
      <c r="A815" s="27" t="s">
        <v>2451</v>
      </c>
      <c r="B815" s="22" t="s">
        <v>2452</v>
      </c>
      <c r="C815" s="4" t="s">
        <v>58</v>
      </c>
      <c r="D815" s="22" t="s">
        <v>2452</v>
      </c>
      <c r="E815" s="22" t="s">
        <v>100</v>
      </c>
      <c r="F815" s="22">
        <v>15</v>
      </c>
      <c r="G815" s="22" t="s">
        <v>217</v>
      </c>
      <c r="H815" s="5">
        <v>4459.8214285714284</v>
      </c>
      <c r="I815" s="49" t="s">
        <v>681</v>
      </c>
      <c r="J815" s="5" t="s">
        <v>102</v>
      </c>
    </row>
    <row r="816" spans="1:10" ht="30">
      <c r="A816" s="27" t="s">
        <v>2453</v>
      </c>
      <c r="B816" s="17" t="s">
        <v>2454</v>
      </c>
      <c r="C816" s="4" t="s">
        <v>58</v>
      </c>
      <c r="D816" s="22" t="s">
        <v>2454</v>
      </c>
      <c r="E816" s="22" t="s">
        <v>100</v>
      </c>
      <c r="F816" s="22">
        <v>9</v>
      </c>
      <c r="G816" s="22" t="s">
        <v>217</v>
      </c>
      <c r="H816" s="5">
        <v>5491.0714285714275</v>
      </c>
      <c r="I816" s="49" t="s">
        <v>681</v>
      </c>
      <c r="J816" s="5" t="s">
        <v>102</v>
      </c>
    </row>
    <row r="817" spans="1:10" ht="45">
      <c r="A817" s="27" t="s">
        <v>2455</v>
      </c>
      <c r="B817" s="17" t="s">
        <v>603</v>
      </c>
      <c r="C817" s="4" t="s">
        <v>58</v>
      </c>
      <c r="D817" s="22" t="s">
        <v>2350</v>
      </c>
      <c r="E817" s="22" t="s">
        <v>604</v>
      </c>
      <c r="F817" s="22">
        <v>19</v>
      </c>
      <c r="G817" s="22" t="s">
        <v>218</v>
      </c>
      <c r="H817" s="5">
        <v>22767.857142857141</v>
      </c>
      <c r="I817" s="49" t="s">
        <v>681</v>
      </c>
      <c r="J817" s="5" t="s">
        <v>102</v>
      </c>
    </row>
    <row r="818" spans="1:10" ht="30">
      <c r="A818" s="27" t="s">
        <v>2456</v>
      </c>
      <c r="B818" s="22" t="s">
        <v>2352</v>
      </c>
      <c r="C818" s="4" t="s">
        <v>58</v>
      </c>
      <c r="D818" s="22" t="s">
        <v>2353</v>
      </c>
      <c r="E818" s="22" t="s">
        <v>100</v>
      </c>
      <c r="F818" s="22">
        <v>15</v>
      </c>
      <c r="G818" s="22" t="s">
        <v>218</v>
      </c>
      <c r="H818" s="5">
        <v>883.92857142857133</v>
      </c>
      <c r="I818" s="49" t="s">
        <v>681</v>
      </c>
      <c r="J818" s="5" t="s">
        <v>102</v>
      </c>
    </row>
    <row r="819" spans="1:10" ht="30">
      <c r="A819" s="27" t="s">
        <v>2457</v>
      </c>
      <c r="B819" s="22" t="s">
        <v>2458</v>
      </c>
      <c r="C819" s="4" t="s">
        <v>58</v>
      </c>
      <c r="D819" s="22" t="s">
        <v>2459</v>
      </c>
      <c r="E819" s="22" t="s">
        <v>100</v>
      </c>
      <c r="F819" s="22">
        <v>2</v>
      </c>
      <c r="G819" s="22" t="s">
        <v>218</v>
      </c>
      <c r="H819" s="5">
        <v>642.85714285714278</v>
      </c>
      <c r="I819" s="49" t="s">
        <v>681</v>
      </c>
      <c r="J819" s="5" t="s">
        <v>102</v>
      </c>
    </row>
    <row r="820" spans="1:10" ht="30">
      <c r="A820" s="27" t="s">
        <v>2460</v>
      </c>
      <c r="B820" s="22" t="s">
        <v>2461</v>
      </c>
      <c r="C820" s="4" t="s">
        <v>58</v>
      </c>
      <c r="D820" s="22" t="s">
        <v>2462</v>
      </c>
      <c r="E820" s="22" t="s">
        <v>100</v>
      </c>
      <c r="F820" s="22">
        <v>2</v>
      </c>
      <c r="G820" s="22" t="s">
        <v>218</v>
      </c>
      <c r="H820" s="5">
        <v>642.85714285714278</v>
      </c>
      <c r="I820" s="49" t="s">
        <v>681</v>
      </c>
      <c r="J820" s="5" t="s">
        <v>102</v>
      </c>
    </row>
    <row r="821" spans="1:10" ht="30">
      <c r="A821" s="27" t="s">
        <v>2463</v>
      </c>
      <c r="B821" s="22" t="s">
        <v>397</v>
      </c>
      <c r="C821" s="4" t="s">
        <v>58</v>
      </c>
      <c r="D821" s="22" t="s">
        <v>2360</v>
      </c>
      <c r="E821" s="22" t="s">
        <v>100</v>
      </c>
      <c r="F821" s="22">
        <v>2</v>
      </c>
      <c r="G821" s="22" t="s">
        <v>218</v>
      </c>
      <c r="H821" s="5">
        <v>1435.7142857142856</v>
      </c>
      <c r="I821" s="49" t="s">
        <v>681</v>
      </c>
      <c r="J821" s="5" t="s">
        <v>102</v>
      </c>
    </row>
    <row r="822" spans="1:10" ht="30">
      <c r="A822" s="27" t="s">
        <v>2464</v>
      </c>
      <c r="B822" s="22" t="s">
        <v>2313</v>
      </c>
      <c r="C822" s="4" t="s">
        <v>58</v>
      </c>
      <c r="D822" s="22" t="s">
        <v>2313</v>
      </c>
      <c r="E822" s="22" t="s">
        <v>100</v>
      </c>
      <c r="F822" s="22">
        <v>100</v>
      </c>
      <c r="G822" s="22" t="s">
        <v>218</v>
      </c>
      <c r="H822" s="5">
        <v>3571.4285714285706</v>
      </c>
      <c r="I822" s="49" t="s">
        <v>681</v>
      </c>
      <c r="J822" s="5" t="s">
        <v>102</v>
      </c>
    </row>
    <row r="823" spans="1:10" ht="30">
      <c r="A823" s="27" t="s">
        <v>2465</v>
      </c>
      <c r="B823" s="17" t="s">
        <v>2276</v>
      </c>
      <c r="C823" s="4" t="s">
        <v>58</v>
      </c>
      <c r="D823" s="22" t="s">
        <v>2315</v>
      </c>
      <c r="E823" s="22" t="s">
        <v>2316</v>
      </c>
      <c r="F823" s="22">
        <v>9</v>
      </c>
      <c r="G823" s="22" t="s">
        <v>218</v>
      </c>
      <c r="H823" s="5">
        <v>7499.9999999999991</v>
      </c>
      <c r="I823" s="49" t="s">
        <v>681</v>
      </c>
      <c r="J823" s="5" t="s">
        <v>102</v>
      </c>
    </row>
    <row r="824" spans="1:10" ht="30">
      <c r="A824" s="27" t="s">
        <v>2466</v>
      </c>
      <c r="B824" s="22" t="s">
        <v>2180</v>
      </c>
      <c r="C824" s="4" t="s">
        <v>58</v>
      </c>
      <c r="D824" s="22" t="s">
        <v>2318</v>
      </c>
      <c r="E824" s="22" t="s">
        <v>100</v>
      </c>
      <c r="F824" s="22">
        <v>100</v>
      </c>
      <c r="G824" s="22" t="s">
        <v>218</v>
      </c>
      <c r="H824" s="5">
        <v>6696.4285714285706</v>
      </c>
      <c r="I824" s="49" t="s">
        <v>681</v>
      </c>
      <c r="J824" s="5" t="s">
        <v>102</v>
      </c>
    </row>
    <row r="825" spans="1:10" ht="30">
      <c r="A825" s="27" t="s">
        <v>2467</v>
      </c>
      <c r="B825" s="22" t="s">
        <v>1253</v>
      </c>
      <c r="C825" s="4" t="s">
        <v>58</v>
      </c>
      <c r="D825" s="22" t="s">
        <v>2320</v>
      </c>
      <c r="E825" s="22" t="s">
        <v>100</v>
      </c>
      <c r="F825" s="22">
        <v>15</v>
      </c>
      <c r="G825" s="22" t="s">
        <v>218</v>
      </c>
      <c r="H825" s="5">
        <v>4098.2142857142853</v>
      </c>
      <c r="I825" s="49" t="s">
        <v>681</v>
      </c>
      <c r="J825" s="5" t="s">
        <v>102</v>
      </c>
    </row>
    <row r="826" spans="1:10" ht="30">
      <c r="A826" s="27" t="s">
        <v>2468</v>
      </c>
      <c r="B826" s="22" t="s">
        <v>2326</v>
      </c>
      <c r="C826" s="4" t="s">
        <v>58</v>
      </c>
      <c r="D826" s="22" t="s">
        <v>2326</v>
      </c>
      <c r="E826" s="22" t="s">
        <v>100</v>
      </c>
      <c r="F826" s="22">
        <v>50</v>
      </c>
      <c r="G826" s="22" t="s">
        <v>218</v>
      </c>
      <c r="H826" s="5">
        <v>642.85714285714278</v>
      </c>
      <c r="I826" s="49" t="s">
        <v>681</v>
      </c>
      <c r="J826" s="5" t="s">
        <v>102</v>
      </c>
    </row>
    <row r="827" spans="1:10" ht="30">
      <c r="A827" s="27" t="s">
        <v>2469</v>
      </c>
      <c r="B827" s="22" t="s">
        <v>2280</v>
      </c>
      <c r="C827" s="4" t="s">
        <v>58</v>
      </c>
      <c r="D827" s="22" t="s">
        <v>2280</v>
      </c>
      <c r="E827" s="22" t="s">
        <v>100</v>
      </c>
      <c r="F827" s="22">
        <v>20</v>
      </c>
      <c r="G827" s="22" t="s">
        <v>218</v>
      </c>
      <c r="H827" s="5">
        <v>5678.5714285714275</v>
      </c>
      <c r="I827" s="49" t="s">
        <v>681</v>
      </c>
      <c r="J827" s="5" t="s">
        <v>102</v>
      </c>
    </row>
    <row r="828" spans="1:10" ht="30">
      <c r="A828" s="27" t="s">
        <v>2470</v>
      </c>
      <c r="B828" s="22" t="s">
        <v>2305</v>
      </c>
      <c r="C828" s="4" t="s">
        <v>58</v>
      </c>
      <c r="D828" s="22" t="s">
        <v>2305</v>
      </c>
      <c r="E828" s="22" t="s">
        <v>604</v>
      </c>
      <c r="F828" s="22">
        <v>15</v>
      </c>
      <c r="G828" s="22" t="s">
        <v>218</v>
      </c>
      <c r="H828" s="5">
        <v>2973.2142857142853</v>
      </c>
      <c r="I828" s="49" t="s">
        <v>681</v>
      </c>
      <c r="J828" s="5" t="s">
        <v>102</v>
      </c>
    </row>
    <row r="829" spans="1:10" ht="30">
      <c r="A829" s="27" t="s">
        <v>2471</v>
      </c>
      <c r="B829" s="22" t="s">
        <v>2238</v>
      </c>
      <c r="C829" s="4" t="s">
        <v>58</v>
      </c>
      <c r="D829" s="22" t="s">
        <v>2225</v>
      </c>
      <c r="E829" s="22" t="s">
        <v>604</v>
      </c>
      <c r="F829" s="22">
        <v>20</v>
      </c>
      <c r="G829" s="22" t="s">
        <v>218</v>
      </c>
      <c r="H829" s="5">
        <v>1714.2857142857142</v>
      </c>
      <c r="I829" s="49" t="s">
        <v>681</v>
      </c>
      <c r="J829" s="5" t="s">
        <v>102</v>
      </c>
    </row>
    <row r="830" spans="1:10" ht="30">
      <c r="A830" s="27" t="s">
        <v>2472</v>
      </c>
      <c r="B830" s="22" t="s">
        <v>2369</v>
      </c>
      <c r="C830" s="4" t="s">
        <v>58</v>
      </c>
      <c r="D830" s="22" t="s">
        <v>2369</v>
      </c>
      <c r="E830" s="22" t="s">
        <v>604</v>
      </c>
      <c r="F830" s="22">
        <v>20</v>
      </c>
      <c r="G830" s="22" t="s">
        <v>218</v>
      </c>
      <c r="H830" s="5">
        <v>964.28571428571422</v>
      </c>
      <c r="I830" s="49" t="s">
        <v>681</v>
      </c>
      <c r="J830" s="5" t="s">
        <v>102</v>
      </c>
    </row>
    <row r="831" spans="1:10" ht="30">
      <c r="A831" s="27" t="s">
        <v>2473</v>
      </c>
      <c r="B831" s="22" t="s">
        <v>2203</v>
      </c>
      <c r="C831" s="4" t="s">
        <v>58</v>
      </c>
      <c r="D831" s="22" t="s">
        <v>2204</v>
      </c>
      <c r="E831" s="22" t="s">
        <v>100</v>
      </c>
      <c r="F831" s="22">
        <v>10</v>
      </c>
      <c r="G831" s="22" t="s">
        <v>218</v>
      </c>
      <c r="H831" s="5">
        <v>1499.9999999999998</v>
      </c>
      <c r="I831" s="49" t="s">
        <v>681</v>
      </c>
      <c r="J831" s="5" t="s">
        <v>102</v>
      </c>
    </row>
    <row r="832" spans="1:10" ht="30">
      <c r="A832" s="27" t="s">
        <v>2474</v>
      </c>
      <c r="B832" s="22" t="s">
        <v>2332</v>
      </c>
      <c r="C832" s="4" t="s">
        <v>58</v>
      </c>
      <c r="D832" s="22" t="s">
        <v>2333</v>
      </c>
      <c r="E832" s="22" t="s">
        <v>100</v>
      </c>
      <c r="F832" s="22">
        <v>15</v>
      </c>
      <c r="G832" s="22" t="s">
        <v>218</v>
      </c>
      <c r="H832" s="5">
        <v>1285.7142857142856</v>
      </c>
      <c r="I832" s="49" t="s">
        <v>681</v>
      </c>
      <c r="J832" s="5" t="s">
        <v>102</v>
      </c>
    </row>
    <row r="833" spans="1:10" ht="30">
      <c r="A833" s="27" t="s">
        <v>2475</v>
      </c>
      <c r="B833" s="22" t="s">
        <v>2335</v>
      </c>
      <c r="C833" s="4" t="s">
        <v>58</v>
      </c>
      <c r="D833" s="22" t="s">
        <v>2336</v>
      </c>
      <c r="E833" s="22" t="s">
        <v>100</v>
      </c>
      <c r="F833" s="22">
        <v>20</v>
      </c>
      <c r="G833" s="22" t="s">
        <v>218</v>
      </c>
      <c r="H833" s="5">
        <v>4732.1428571428569</v>
      </c>
      <c r="I833" s="49" t="s">
        <v>681</v>
      </c>
      <c r="J833" s="5" t="s">
        <v>102</v>
      </c>
    </row>
    <row r="834" spans="1:10" ht="30">
      <c r="A834" s="27" t="s">
        <v>2476</v>
      </c>
      <c r="B834" s="22" t="s">
        <v>443</v>
      </c>
      <c r="C834" s="4" t="s">
        <v>58</v>
      </c>
      <c r="D834" s="22" t="s">
        <v>2215</v>
      </c>
      <c r="E834" s="22" t="s">
        <v>100</v>
      </c>
      <c r="F834" s="22">
        <v>5</v>
      </c>
      <c r="G834" s="22" t="s">
        <v>218</v>
      </c>
      <c r="H834" s="5">
        <v>723.21428571428567</v>
      </c>
      <c r="I834" s="49" t="s">
        <v>681</v>
      </c>
      <c r="J834" s="5" t="s">
        <v>102</v>
      </c>
    </row>
    <row r="835" spans="1:10" ht="30">
      <c r="A835" s="27" t="s">
        <v>2477</v>
      </c>
      <c r="B835" s="22" t="s">
        <v>2270</v>
      </c>
      <c r="C835" s="4" t="s">
        <v>58</v>
      </c>
      <c r="D835" s="22" t="s">
        <v>2271</v>
      </c>
      <c r="E835" s="22" t="s">
        <v>100</v>
      </c>
      <c r="F835" s="22">
        <v>5</v>
      </c>
      <c r="G835" s="22" t="s">
        <v>218</v>
      </c>
      <c r="H835" s="5">
        <v>9642.8571428571413</v>
      </c>
      <c r="I835" s="49" t="s">
        <v>681</v>
      </c>
      <c r="J835" s="5" t="s">
        <v>102</v>
      </c>
    </row>
    <row r="836" spans="1:10" ht="30">
      <c r="A836" s="27" t="s">
        <v>2478</v>
      </c>
      <c r="B836" s="22" t="s">
        <v>2377</v>
      </c>
      <c r="C836" s="4" t="s">
        <v>58</v>
      </c>
      <c r="D836" s="22" t="s">
        <v>2378</v>
      </c>
      <c r="E836" s="22" t="s">
        <v>100</v>
      </c>
      <c r="F836" s="22">
        <v>160</v>
      </c>
      <c r="G836" s="22" t="s">
        <v>218</v>
      </c>
      <c r="H836" s="5">
        <v>42000</v>
      </c>
      <c r="I836" s="49" t="s">
        <v>681</v>
      </c>
      <c r="J836" s="5" t="s">
        <v>102</v>
      </c>
    </row>
    <row r="837" spans="1:10" ht="30">
      <c r="A837" s="27" t="s">
        <v>2479</v>
      </c>
      <c r="B837" s="22" t="s">
        <v>2480</v>
      </c>
      <c r="C837" s="4" t="s">
        <v>58</v>
      </c>
      <c r="D837" s="22" t="s">
        <v>2480</v>
      </c>
      <c r="E837" s="22" t="s">
        <v>100</v>
      </c>
      <c r="F837" s="22">
        <v>5</v>
      </c>
      <c r="G837" s="22" t="s">
        <v>218</v>
      </c>
      <c r="H837" s="5">
        <v>749.99999999999989</v>
      </c>
      <c r="I837" s="49" t="s">
        <v>681</v>
      </c>
      <c r="J837" s="5" t="s">
        <v>102</v>
      </c>
    </row>
    <row r="838" spans="1:10" ht="30">
      <c r="A838" s="27" t="s">
        <v>2481</v>
      </c>
      <c r="B838" s="22" t="s">
        <v>2440</v>
      </c>
      <c r="C838" s="4" t="s">
        <v>58</v>
      </c>
      <c r="D838" s="22" t="s">
        <v>2440</v>
      </c>
      <c r="E838" s="22" t="s">
        <v>100</v>
      </c>
      <c r="F838" s="22">
        <v>15</v>
      </c>
      <c r="G838" s="22" t="s">
        <v>218</v>
      </c>
      <c r="H838" s="5">
        <v>7553.5714285714275</v>
      </c>
      <c r="I838" s="49" t="s">
        <v>681</v>
      </c>
      <c r="J838" s="5" t="s">
        <v>102</v>
      </c>
    </row>
    <row r="839" spans="1:10" ht="30">
      <c r="A839" s="27" t="s">
        <v>2482</v>
      </c>
      <c r="B839" s="22" t="s">
        <v>2381</v>
      </c>
      <c r="C839" s="4" t="s">
        <v>58</v>
      </c>
      <c r="D839" s="22" t="s">
        <v>2381</v>
      </c>
      <c r="E839" s="22" t="s">
        <v>100</v>
      </c>
      <c r="F839" s="22">
        <v>10</v>
      </c>
      <c r="G839" s="22" t="s">
        <v>218</v>
      </c>
      <c r="H839" s="5">
        <v>14946.428571428571</v>
      </c>
      <c r="I839" s="49" t="s">
        <v>681</v>
      </c>
      <c r="J839" s="5" t="s">
        <v>102</v>
      </c>
    </row>
    <row r="840" spans="1:10" ht="45">
      <c r="A840" s="27" t="s">
        <v>2483</v>
      </c>
      <c r="B840" s="17" t="s">
        <v>603</v>
      </c>
      <c r="C840" s="4" t="s">
        <v>58</v>
      </c>
      <c r="D840" s="22" t="s">
        <v>2484</v>
      </c>
      <c r="E840" s="22" t="s">
        <v>604</v>
      </c>
      <c r="F840" s="22">
        <v>102</v>
      </c>
      <c r="G840" s="22" t="s">
        <v>219</v>
      </c>
      <c r="H840" s="5">
        <v>121428.57142857142</v>
      </c>
      <c r="I840" s="49" t="s">
        <v>681</v>
      </c>
      <c r="J840" s="5" t="s">
        <v>102</v>
      </c>
    </row>
    <row r="841" spans="1:10" ht="30">
      <c r="A841" s="27" t="s">
        <v>2485</v>
      </c>
      <c r="B841" s="17" t="s">
        <v>2355</v>
      </c>
      <c r="C841" s="4" t="s">
        <v>58</v>
      </c>
      <c r="D841" s="22" t="s">
        <v>2356</v>
      </c>
      <c r="E841" s="22" t="s">
        <v>100</v>
      </c>
      <c r="F841" s="22">
        <v>18</v>
      </c>
      <c r="G841" s="22" t="s">
        <v>219</v>
      </c>
      <c r="H841" s="5">
        <v>13371.428571428571</v>
      </c>
      <c r="I841" s="49" t="s">
        <v>681</v>
      </c>
      <c r="J841" s="5" t="s">
        <v>102</v>
      </c>
    </row>
    <row r="842" spans="1:10" ht="30">
      <c r="A842" s="27" t="s">
        <v>2486</v>
      </c>
      <c r="B842" s="22" t="s">
        <v>2355</v>
      </c>
      <c r="C842" s="4" t="s">
        <v>58</v>
      </c>
      <c r="D842" s="22" t="s">
        <v>2358</v>
      </c>
      <c r="E842" s="22" t="s">
        <v>100</v>
      </c>
      <c r="F842" s="22">
        <v>24</v>
      </c>
      <c r="G842" s="22" t="s">
        <v>219</v>
      </c>
      <c r="H842" s="5">
        <v>12728.571428571428</v>
      </c>
      <c r="I842" s="49" t="s">
        <v>681</v>
      </c>
      <c r="J842" s="5" t="s">
        <v>102</v>
      </c>
    </row>
    <row r="843" spans="1:10" ht="30">
      <c r="A843" s="27" t="s">
        <v>2487</v>
      </c>
      <c r="B843" s="22" t="s">
        <v>397</v>
      </c>
      <c r="C843" s="4" t="s">
        <v>58</v>
      </c>
      <c r="D843" s="22" t="s">
        <v>2360</v>
      </c>
      <c r="E843" s="22" t="s">
        <v>100</v>
      </c>
      <c r="F843" s="22">
        <v>5</v>
      </c>
      <c r="G843" s="22" t="s">
        <v>219</v>
      </c>
      <c r="H843" s="5">
        <v>3589.2857142857138</v>
      </c>
      <c r="I843" s="49" t="s">
        <v>681</v>
      </c>
      <c r="J843" s="5" t="s">
        <v>102</v>
      </c>
    </row>
    <row r="844" spans="1:10" ht="30">
      <c r="A844" s="27" t="s">
        <v>2488</v>
      </c>
      <c r="B844" s="22" t="s">
        <v>2362</v>
      </c>
      <c r="C844" s="4" t="s">
        <v>58</v>
      </c>
      <c r="D844" s="22" t="s">
        <v>2489</v>
      </c>
      <c r="E844" s="22" t="s">
        <v>100</v>
      </c>
      <c r="F844" s="22">
        <v>2</v>
      </c>
      <c r="G844" s="22" t="s">
        <v>219</v>
      </c>
      <c r="H844" s="5">
        <v>139.28571428571428</v>
      </c>
      <c r="I844" s="49" t="s">
        <v>681</v>
      </c>
      <c r="J844" s="5" t="s">
        <v>102</v>
      </c>
    </row>
    <row r="845" spans="1:10" ht="30">
      <c r="A845" s="27" t="s">
        <v>2490</v>
      </c>
      <c r="B845" s="22" t="s">
        <v>2362</v>
      </c>
      <c r="C845" s="4" t="s">
        <v>58</v>
      </c>
      <c r="D845" s="22" t="s">
        <v>2363</v>
      </c>
      <c r="E845" s="22" t="s">
        <v>100</v>
      </c>
      <c r="F845" s="22">
        <v>150</v>
      </c>
      <c r="G845" s="22" t="s">
        <v>219</v>
      </c>
      <c r="H845" s="5">
        <v>4017.8571428571427</v>
      </c>
      <c r="I845" s="49" t="s">
        <v>681</v>
      </c>
      <c r="J845" s="5" t="s">
        <v>102</v>
      </c>
    </row>
    <row r="846" spans="1:10" ht="30">
      <c r="A846" s="27" t="s">
        <v>2491</v>
      </c>
      <c r="B846" s="22" t="s">
        <v>2388</v>
      </c>
      <c r="C846" s="4" t="s">
        <v>58</v>
      </c>
      <c r="D846" s="22" t="s">
        <v>2389</v>
      </c>
      <c r="E846" s="22" t="s">
        <v>100</v>
      </c>
      <c r="F846" s="22">
        <v>80</v>
      </c>
      <c r="G846" s="22" t="s">
        <v>219</v>
      </c>
      <c r="H846" s="5">
        <v>1028.5714285714284</v>
      </c>
      <c r="I846" s="49" t="s">
        <v>681</v>
      </c>
      <c r="J846" s="5" t="s">
        <v>102</v>
      </c>
    </row>
    <row r="847" spans="1:10" ht="30">
      <c r="A847" s="27" t="s">
        <v>2492</v>
      </c>
      <c r="B847" s="17" t="s">
        <v>2212</v>
      </c>
      <c r="C847" s="4" t="s">
        <v>58</v>
      </c>
      <c r="D847" s="22" t="s">
        <v>2213</v>
      </c>
      <c r="E847" s="22" t="s">
        <v>100</v>
      </c>
      <c r="F847" s="22">
        <v>6</v>
      </c>
      <c r="G847" s="22" t="s">
        <v>219</v>
      </c>
      <c r="H847" s="5">
        <v>6739.2857142857138</v>
      </c>
      <c r="I847" s="49" t="s">
        <v>681</v>
      </c>
      <c r="J847" s="5" t="s">
        <v>102</v>
      </c>
    </row>
    <row r="848" spans="1:10" ht="30">
      <c r="A848" s="27" t="s">
        <v>2493</v>
      </c>
      <c r="B848" s="17" t="s">
        <v>2212</v>
      </c>
      <c r="C848" s="4" t="s">
        <v>58</v>
      </c>
      <c r="D848" s="22" t="s">
        <v>2494</v>
      </c>
      <c r="E848" s="22" t="s">
        <v>100</v>
      </c>
      <c r="F848" s="22">
        <v>1</v>
      </c>
      <c r="G848" s="22" t="s">
        <v>219</v>
      </c>
      <c r="H848" s="5">
        <v>1489.2857142857142</v>
      </c>
      <c r="I848" s="49" t="s">
        <v>681</v>
      </c>
      <c r="J848" s="5" t="s">
        <v>102</v>
      </c>
    </row>
    <row r="849" spans="1:10" ht="30">
      <c r="A849" s="27" t="s">
        <v>2495</v>
      </c>
      <c r="B849" s="22" t="s">
        <v>2313</v>
      </c>
      <c r="C849" s="4" t="s">
        <v>58</v>
      </c>
      <c r="D849" s="22" t="s">
        <v>2313</v>
      </c>
      <c r="E849" s="22" t="s">
        <v>100</v>
      </c>
      <c r="F849" s="22">
        <v>110</v>
      </c>
      <c r="G849" s="22" t="s">
        <v>219</v>
      </c>
      <c r="H849" s="5">
        <v>3928.571428571428</v>
      </c>
      <c r="I849" s="49" t="s">
        <v>681</v>
      </c>
      <c r="J849" s="5" t="s">
        <v>102</v>
      </c>
    </row>
    <row r="850" spans="1:10" ht="30">
      <c r="A850" s="27" t="s">
        <v>2496</v>
      </c>
      <c r="B850" s="17" t="s">
        <v>2276</v>
      </c>
      <c r="C850" s="4" t="s">
        <v>58</v>
      </c>
      <c r="D850" s="22" t="s">
        <v>2315</v>
      </c>
      <c r="E850" s="22" t="s">
        <v>2316</v>
      </c>
      <c r="F850" s="22">
        <v>9</v>
      </c>
      <c r="G850" s="22" t="s">
        <v>219</v>
      </c>
      <c r="H850" s="5">
        <v>7499.9999999999991</v>
      </c>
      <c r="I850" s="49" t="s">
        <v>681</v>
      </c>
      <c r="J850" s="5" t="s">
        <v>102</v>
      </c>
    </row>
    <row r="851" spans="1:10" ht="30">
      <c r="A851" s="27" t="s">
        <v>2497</v>
      </c>
      <c r="B851" s="22" t="s">
        <v>2180</v>
      </c>
      <c r="C851" s="4" t="s">
        <v>58</v>
      </c>
      <c r="D851" s="22" t="s">
        <v>2318</v>
      </c>
      <c r="E851" s="22" t="s">
        <v>100</v>
      </c>
      <c r="F851" s="22">
        <v>90</v>
      </c>
      <c r="G851" s="22" t="s">
        <v>219</v>
      </c>
      <c r="H851" s="5">
        <v>6026.7857142857138</v>
      </c>
      <c r="I851" s="49" t="s">
        <v>681</v>
      </c>
      <c r="J851" s="5" t="s">
        <v>102</v>
      </c>
    </row>
    <row r="852" spans="1:10" ht="30">
      <c r="A852" s="27" t="s">
        <v>2498</v>
      </c>
      <c r="B852" s="22" t="s">
        <v>2180</v>
      </c>
      <c r="C852" s="4" t="s">
        <v>58</v>
      </c>
      <c r="D852" s="22" t="s">
        <v>2393</v>
      </c>
      <c r="E852" s="22" t="s">
        <v>100</v>
      </c>
      <c r="F852" s="22">
        <v>40</v>
      </c>
      <c r="G852" s="22" t="s">
        <v>219</v>
      </c>
      <c r="H852" s="5">
        <v>3999.9999999999995</v>
      </c>
      <c r="I852" s="49" t="s">
        <v>681</v>
      </c>
      <c r="J852" s="5" t="s">
        <v>102</v>
      </c>
    </row>
    <row r="853" spans="1:10" ht="30">
      <c r="A853" s="27" t="s">
        <v>2499</v>
      </c>
      <c r="B853" s="22" t="s">
        <v>1253</v>
      </c>
      <c r="C853" s="4" t="s">
        <v>58</v>
      </c>
      <c r="D853" s="22" t="s">
        <v>2320</v>
      </c>
      <c r="E853" s="22" t="s">
        <v>100</v>
      </c>
      <c r="F853" s="22">
        <v>10</v>
      </c>
      <c r="G853" s="22" t="s">
        <v>219</v>
      </c>
      <c r="H853" s="5">
        <v>2732.1428571428569</v>
      </c>
      <c r="I853" s="49" t="s">
        <v>681</v>
      </c>
      <c r="J853" s="5" t="s">
        <v>102</v>
      </c>
    </row>
    <row r="854" spans="1:10" ht="30">
      <c r="A854" s="27" t="s">
        <v>2500</v>
      </c>
      <c r="B854" s="22" t="s">
        <v>2396</v>
      </c>
      <c r="C854" s="4" t="s">
        <v>58</v>
      </c>
      <c r="D854" s="22" t="s">
        <v>2396</v>
      </c>
      <c r="E854" s="22" t="s">
        <v>100</v>
      </c>
      <c r="F854" s="22">
        <v>50</v>
      </c>
      <c r="G854" s="22" t="s">
        <v>219</v>
      </c>
      <c r="H854" s="5">
        <v>4553.5714285714284</v>
      </c>
      <c r="I854" s="49" t="s">
        <v>681</v>
      </c>
      <c r="J854" s="5" t="s">
        <v>102</v>
      </c>
    </row>
    <row r="855" spans="1:10" ht="30">
      <c r="A855" s="27" t="s">
        <v>2501</v>
      </c>
      <c r="B855" s="22" t="s">
        <v>2326</v>
      </c>
      <c r="C855" s="4" t="s">
        <v>58</v>
      </c>
      <c r="D855" s="22" t="s">
        <v>2326</v>
      </c>
      <c r="E855" s="22" t="s">
        <v>100</v>
      </c>
      <c r="F855" s="22">
        <v>30</v>
      </c>
      <c r="G855" s="22" t="s">
        <v>219</v>
      </c>
      <c r="H855" s="5">
        <v>385.71428571428567</v>
      </c>
      <c r="I855" s="49" t="s">
        <v>681</v>
      </c>
      <c r="J855" s="5" t="s">
        <v>102</v>
      </c>
    </row>
    <row r="856" spans="1:10" ht="30">
      <c r="A856" s="27" t="s">
        <v>2502</v>
      </c>
      <c r="B856" s="22" t="s">
        <v>2248</v>
      </c>
      <c r="C856" s="4" t="s">
        <v>58</v>
      </c>
      <c r="D856" s="22" t="s">
        <v>2248</v>
      </c>
      <c r="E856" s="22" t="s">
        <v>100</v>
      </c>
      <c r="F856" s="22">
        <v>8</v>
      </c>
      <c r="G856" s="22" t="s">
        <v>219</v>
      </c>
      <c r="H856" s="5">
        <v>685.71428571428567</v>
      </c>
      <c r="I856" s="49" t="s">
        <v>681</v>
      </c>
      <c r="J856" s="5" t="s">
        <v>102</v>
      </c>
    </row>
    <row r="857" spans="1:10" ht="30">
      <c r="A857" s="27" t="s">
        <v>2503</v>
      </c>
      <c r="B857" s="22" t="s">
        <v>2208</v>
      </c>
      <c r="C857" s="4" t="s">
        <v>58</v>
      </c>
      <c r="D857" s="22" t="s">
        <v>2208</v>
      </c>
      <c r="E857" s="22" t="s">
        <v>100</v>
      </c>
      <c r="F857" s="22">
        <v>8</v>
      </c>
      <c r="G857" s="22" t="s">
        <v>219</v>
      </c>
      <c r="H857" s="5">
        <v>342.85714285714283</v>
      </c>
      <c r="I857" s="49" t="s">
        <v>681</v>
      </c>
      <c r="J857" s="5" t="s">
        <v>102</v>
      </c>
    </row>
    <row r="858" spans="1:10" ht="30">
      <c r="A858" s="27" t="s">
        <v>2504</v>
      </c>
      <c r="B858" s="22" t="s">
        <v>2505</v>
      </c>
      <c r="C858" s="4" t="s">
        <v>58</v>
      </c>
      <c r="D858" s="22" t="s">
        <v>2506</v>
      </c>
      <c r="E858" s="22" t="s">
        <v>100</v>
      </c>
      <c r="F858" s="22">
        <v>5</v>
      </c>
      <c r="G858" s="22" t="s">
        <v>219</v>
      </c>
      <c r="H858" s="5">
        <v>374.99999999999994</v>
      </c>
      <c r="I858" s="49" t="s">
        <v>681</v>
      </c>
      <c r="J858" s="5" t="s">
        <v>102</v>
      </c>
    </row>
    <row r="859" spans="1:10" ht="30">
      <c r="A859" s="27" t="s">
        <v>2507</v>
      </c>
      <c r="B859" s="22" t="s">
        <v>2280</v>
      </c>
      <c r="C859" s="4" t="s">
        <v>58</v>
      </c>
      <c r="D859" s="22" t="s">
        <v>2280</v>
      </c>
      <c r="E859" s="22" t="s">
        <v>100</v>
      </c>
      <c r="F859" s="22">
        <v>7</v>
      </c>
      <c r="G859" s="22" t="s">
        <v>219</v>
      </c>
      <c r="H859" s="5">
        <v>1987.4999999999998</v>
      </c>
      <c r="I859" s="49" t="s">
        <v>681</v>
      </c>
      <c r="J859" s="5" t="s">
        <v>102</v>
      </c>
    </row>
    <row r="860" spans="1:10" ht="30">
      <c r="A860" s="27" t="s">
        <v>2508</v>
      </c>
      <c r="B860" s="22" t="s">
        <v>2401</v>
      </c>
      <c r="C860" s="4" t="s">
        <v>58</v>
      </c>
      <c r="D860" s="22" t="s">
        <v>2401</v>
      </c>
      <c r="E860" s="22" t="s">
        <v>100</v>
      </c>
      <c r="F860" s="22">
        <v>1</v>
      </c>
      <c r="G860" s="22" t="s">
        <v>219</v>
      </c>
      <c r="H860" s="5">
        <v>289.28571428571428</v>
      </c>
      <c r="I860" s="49" t="s">
        <v>681</v>
      </c>
      <c r="J860" s="5" t="s">
        <v>102</v>
      </c>
    </row>
    <row r="861" spans="1:10" ht="30">
      <c r="A861" s="27" t="s">
        <v>2509</v>
      </c>
      <c r="B861" s="22" t="s">
        <v>2403</v>
      </c>
      <c r="C861" s="4" t="s">
        <v>58</v>
      </c>
      <c r="D861" s="22" t="s">
        <v>2403</v>
      </c>
      <c r="E861" s="22" t="s">
        <v>100</v>
      </c>
      <c r="F861" s="22">
        <v>5</v>
      </c>
      <c r="G861" s="22" t="s">
        <v>219</v>
      </c>
      <c r="H861" s="5">
        <v>883.92857142857133</v>
      </c>
      <c r="I861" s="49" t="s">
        <v>681</v>
      </c>
      <c r="J861" s="5" t="s">
        <v>102</v>
      </c>
    </row>
    <row r="862" spans="1:10" ht="30">
      <c r="A862" s="27" t="s">
        <v>2510</v>
      </c>
      <c r="B862" s="22" t="s">
        <v>2171</v>
      </c>
      <c r="C862" s="4" t="s">
        <v>58</v>
      </c>
      <c r="D862" s="22" t="s">
        <v>2407</v>
      </c>
      <c r="E862" s="22" t="s">
        <v>100</v>
      </c>
      <c r="F862" s="22">
        <v>1</v>
      </c>
      <c r="G862" s="22" t="s">
        <v>219</v>
      </c>
      <c r="H862" s="5">
        <v>3874.9999999999995</v>
      </c>
      <c r="I862" s="49" t="s">
        <v>681</v>
      </c>
      <c r="J862" s="5" t="s">
        <v>102</v>
      </c>
    </row>
    <row r="863" spans="1:10" ht="30">
      <c r="A863" s="27" t="s">
        <v>2511</v>
      </c>
      <c r="B863" s="22" t="s">
        <v>2305</v>
      </c>
      <c r="C863" s="4" t="s">
        <v>58</v>
      </c>
      <c r="D863" s="22" t="s">
        <v>2305</v>
      </c>
      <c r="E863" s="22" t="s">
        <v>604</v>
      </c>
      <c r="F863" s="22">
        <v>15</v>
      </c>
      <c r="G863" s="22" t="s">
        <v>219</v>
      </c>
      <c r="H863" s="5">
        <v>2973.2142857142853</v>
      </c>
      <c r="I863" s="49" t="s">
        <v>681</v>
      </c>
      <c r="J863" s="5" t="s">
        <v>102</v>
      </c>
    </row>
    <row r="864" spans="1:10" ht="30">
      <c r="A864" s="27" t="s">
        <v>2512</v>
      </c>
      <c r="B864" s="22" t="s">
        <v>2238</v>
      </c>
      <c r="C864" s="4" t="s">
        <v>58</v>
      </c>
      <c r="D864" s="22" t="s">
        <v>2225</v>
      </c>
      <c r="E864" s="22" t="s">
        <v>604</v>
      </c>
      <c r="F864" s="22">
        <v>15</v>
      </c>
      <c r="G864" s="22" t="s">
        <v>219</v>
      </c>
      <c r="H864" s="5">
        <v>1285.7142857142856</v>
      </c>
      <c r="I864" s="49" t="s">
        <v>681</v>
      </c>
      <c r="J864" s="5" t="s">
        <v>102</v>
      </c>
    </row>
    <row r="865" spans="1:10" ht="30">
      <c r="A865" s="27" t="s">
        <v>2513</v>
      </c>
      <c r="B865" s="22" t="s">
        <v>2369</v>
      </c>
      <c r="C865" s="4" t="s">
        <v>58</v>
      </c>
      <c r="D865" s="22" t="s">
        <v>2369</v>
      </c>
      <c r="E865" s="22" t="s">
        <v>604</v>
      </c>
      <c r="F865" s="22">
        <v>15</v>
      </c>
      <c r="G865" s="22" t="s">
        <v>219</v>
      </c>
      <c r="H865" s="5">
        <v>723.21428571428567</v>
      </c>
      <c r="I865" s="49" t="s">
        <v>681</v>
      </c>
      <c r="J865" s="5" t="s">
        <v>102</v>
      </c>
    </row>
    <row r="866" spans="1:10" ht="30">
      <c r="A866" s="27" t="s">
        <v>2514</v>
      </c>
      <c r="B866" s="22" t="s">
        <v>2233</v>
      </c>
      <c r="C866" s="4" t="s">
        <v>58</v>
      </c>
      <c r="D866" s="22" t="s">
        <v>2412</v>
      </c>
      <c r="E866" s="22" t="s">
        <v>100</v>
      </c>
      <c r="F866" s="22">
        <v>4</v>
      </c>
      <c r="G866" s="22" t="s">
        <v>219</v>
      </c>
      <c r="H866" s="5">
        <v>2057.1428571428569</v>
      </c>
      <c r="I866" s="49" t="s">
        <v>681</v>
      </c>
      <c r="J866" s="5" t="s">
        <v>102</v>
      </c>
    </row>
    <row r="867" spans="1:10" ht="30">
      <c r="A867" s="27" t="s">
        <v>2515</v>
      </c>
      <c r="B867" s="22" t="s">
        <v>2233</v>
      </c>
      <c r="C867" s="4" t="s">
        <v>58</v>
      </c>
      <c r="D867" s="22" t="s">
        <v>2414</v>
      </c>
      <c r="E867" s="22" t="s">
        <v>100</v>
      </c>
      <c r="F867" s="22">
        <v>4</v>
      </c>
      <c r="G867" s="22" t="s">
        <v>219</v>
      </c>
      <c r="H867" s="5">
        <v>2935.7142857142853</v>
      </c>
      <c r="I867" s="49" t="s">
        <v>681</v>
      </c>
      <c r="J867" s="5" t="s">
        <v>102</v>
      </c>
    </row>
    <row r="868" spans="1:10" ht="30">
      <c r="A868" s="27" t="s">
        <v>2516</v>
      </c>
      <c r="B868" s="22" t="s">
        <v>2174</v>
      </c>
      <c r="C868" s="4" t="s">
        <v>58</v>
      </c>
      <c r="D868" s="22" t="s">
        <v>2174</v>
      </c>
      <c r="E868" s="22" t="s">
        <v>100</v>
      </c>
      <c r="F868" s="22">
        <v>4</v>
      </c>
      <c r="G868" s="22" t="s">
        <v>219</v>
      </c>
      <c r="H868" s="5">
        <v>535.71428571428567</v>
      </c>
      <c r="I868" s="49" t="s">
        <v>681</v>
      </c>
      <c r="J868" s="5" t="s">
        <v>102</v>
      </c>
    </row>
    <row r="869" spans="1:10" ht="30">
      <c r="A869" s="27" t="s">
        <v>2517</v>
      </c>
      <c r="B869" s="22" t="s">
        <v>2417</v>
      </c>
      <c r="C869" s="4" t="s">
        <v>58</v>
      </c>
      <c r="D869" s="22" t="s">
        <v>2418</v>
      </c>
      <c r="E869" s="22" t="s">
        <v>604</v>
      </c>
      <c r="F869" s="22">
        <v>4</v>
      </c>
      <c r="G869" s="22" t="s">
        <v>219</v>
      </c>
      <c r="H869" s="5">
        <v>599.99999999999989</v>
      </c>
      <c r="I869" s="49" t="s">
        <v>681</v>
      </c>
      <c r="J869" s="5" t="s">
        <v>102</v>
      </c>
    </row>
    <row r="870" spans="1:10" ht="30">
      <c r="A870" s="27" t="s">
        <v>2518</v>
      </c>
      <c r="B870" s="22" t="s">
        <v>2417</v>
      </c>
      <c r="C870" s="4" t="s">
        <v>58</v>
      </c>
      <c r="D870" s="22" t="s">
        <v>2420</v>
      </c>
      <c r="E870" s="22" t="s">
        <v>604</v>
      </c>
      <c r="F870" s="22">
        <v>4</v>
      </c>
      <c r="G870" s="22" t="s">
        <v>219</v>
      </c>
      <c r="H870" s="5">
        <v>1542.8571428571427</v>
      </c>
      <c r="I870" s="49" t="s">
        <v>681</v>
      </c>
      <c r="J870" s="5" t="s">
        <v>102</v>
      </c>
    </row>
    <row r="871" spans="1:10" ht="30">
      <c r="A871" s="27" t="s">
        <v>2519</v>
      </c>
      <c r="B871" s="22" t="s">
        <v>2417</v>
      </c>
      <c r="C871" s="4" t="s">
        <v>58</v>
      </c>
      <c r="D871" s="22" t="s">
        <v>2422</v>
      </c>
      <c r="E871" s="22" t="s">
        <v>604</v>
      </c>
      <c r="F871" s="22">
        <v>4</v>
      </c>
      <c r="G871" s="22" t="s">
        <v>219</v>
      </c>
      <c r="H871" s="5">
        <v>2549.9999999999995</v>
      </c>
      <c r="I871" s="49" t="s">
        <v>681</v>
      </c>
      <c r="J871" s="5" t="s">
        <v>102</v>
      </c>
    </row>
    <row r="872" spans="1:10" ht="30">
      <c r="A872" s="27" t="s">
        <v>2520</v>
      </c>
      <c r="B872" s="22" t="s">
        <v>2203</v>
      </c>
      <c r="C872" s="4" t="s">
        <v>58</v>
      </c>
      <c r="D872" s="22" t="s">
        <v>2204</v>
      </c>
      <c r="E872" s="22" t="s">
        <v>100</v>
      </c>
      <c r="F872" s="22">
        <v>13</v>
      </c>
      <c r="G872" s="22" t="s">
        <v>219</v>
      </c>
      <c r="H872" s="5">
        <v>1949.9999999999995</v>
      </c>
      <c r="I872" s="49" t="s">
        <v>681</v>
      </c>
      <c r="J872" s="5" t="s">
        <v>102</v>
      </c>
    </row>
    <row r="873" spans="1:10" ht="30">
      <c r="A873" s="27" t="s">
        <v>2521</v>
      </c>
      <c r="B873" s="22" t="s">
        <v>2332</v>
      </c>
      <c r="C873" s="4" t="s">
        <v>58</v>
      </c>
      <c r="D873" s="22" t="s">
        <v>2333</v>
      </c>
      <c r="E873" s="22" t="s">
        <v>100</v>
      </c>
      <c r="F873" s="22">
        <v>30</v>
      </c>
      <c r="G873" s="22" t="s">
        <v>219</v>
      </c>
      <c r="H873" s="5">
        <v>2571.4285714285711</v>
      </c>
      <c r="I873" s="49" t="s">
        <v>681</v>
      </c>
      <c r="J873" s="5" t="s">
        <v>102</v>
      </c>
    </row>
    <row r="874" spans="1:10" ht="30">
      <c r="A874" s="27" t="s">
        <v>2522</v>
      </c>
      <c r="B874" s="22" t="s">
        <v>2335</v>
      </c>
      <c r="C874" s="4" t="s">
        <v>58</v>
      </c>
      <c r="D874" s="22" t="s">
        <v>2336</v>
      </c>
      <c r="E874" s="22" t="s">
        <v>100</v>
      </c>
      <c r="F874" s="22">
        <v>25</v>
      </c>
      <c r="G874" s="22" t="s">
        <v>219</v>
      </c>
      <c r="H874" s="5">
        <v>5915.1785714285706</v>
      </c>
      <c r="I874" s="49" t="s">
        <v>681</v>
      </c>
      <c r="J874" s="5" t="s">
        <v>102</v>
      </c>
    </row>
    <row r="875" spans="1:10" ht="30">
      <c r="A875" s="27" t="s">
        <v>2523</v>
      </c>
      <c r="B875" s="22" t="s">
        <v>443</v>
      </c>
      <c r="C875" s="4" t="s">
        <v>58</v>
      </c>
      <c r="D875" s="22" t="s">
        <v>2215</v>
      </c>
      <c r="E875" s="22" t="s">
        <v>100</v>
      </c>
      <c r="F875" s="22">
        <v>5</v>
      </c>
      <c r="G875" s="22" t="s">
        <v>219</v>
      </c>
      <c r="H875" s="5">
        <v>723.21428571428567</v>
      </c>
      <c r="I875" s="49" t="s">
        <v>681</v>
      </c>
      <c r="J875" s="5" t="s">
        <v>102</v>
      </c>
    </row>
    <row r="876" spans="1:10" ht="30">
      <c r="A876" s="27" t="s">
        <v>2524</v>
      </c>
      <c r="B876" s="22" t="s">
        <v>2430</v>
      </c>
      <c r="C876" s="4" t="s">
        <v>58</v>
      </c>
      <c r="D876" s="22" t="s">
        <v>2431</v>
      </c>
      <c r="E876" s="22" t="s">
        <v>100</v>
      </c>
      <c r="F876" s="22">
        <v>5</v>
      </c>
      <c r="G876" s="22" t="s">
        <v>219</v>
      </c>
      <c r="H876" s="5">
        <v>1660.7142857142856</v>
      </c>
      <c r="I876" s="49" t="s">
        <v>681</v>
      </c>
      <c r="J876" s="5" t="s">
        <v>102</v>
      </c>
    </row>
    <row r="877" spans="1:10" ht="30">
      <c r="A877" s="27" t="s">
        <v>2525</v>
      </c>
      <c r="B877" s="22" t="s">
        <v>2270</v>
      </c>
      <c r="C877" s="4" t="s">
        <v>58</v>
      </c>
      <c r="D877" s="22" t="s">
        <v>2271</v>
      </c>
      <c r="E877" s="22" t="s">
        <v>100</v>
      </c>
      <c r="F877" s="22">
        <v>1</v>
      </c>
      <c r="G877" s="22" t="s">
        <v>219</v>
      </c>
      <c r="H877" s="5">
        <v>1928.5714285714284</v>
      </c>
      <c r="I877" s="49" t="s">
        <v>681</v>
      </c>
      <c r="J877" s="5" t="s">
        <v>102</v>
      </c>
    </row>
    <row r="878" spans="1:10" ht="30">
      <c r="A878" s="27" t="s">
        <v>2526</v>
      </c>
      <c r="B878" s="22" t="s">
        <v>395</v>
      </c>
      <c r="C878" s="4" t="s">
        <v>58</v>
      </c>
      <c r="D878" s="22" t="s">
        <v>2372</v>
      </c>
      <c r="E878" s="22" t="s">
        <v>100</v>
      </c>
      <c r="F878" s="22">
        <v>14</v>
      </c>
      <c r="G878" s="22" t="s">
        <v>219</v>
      </c>
      <c r="H878" s="5">
        <v>5924.9999999999991</v>
      </c>
      <c r="I878" s="49" t="s">
        <v>681</v>
      </c>
      <c r="J878" s="5" t="s">
        <v>102</v>
      </c>
    </row>
    <row r="879" spans="1:10" ht="30">
      <c r="A879" s="27" t="s">
        <v>2527</v>
      </c>
      <c r="B879" s="22" t="s">
        <v>395</v>
      </c>
      <c r="C879" s="4" t="s">
        <v>58</v>
      </c>
      <c r="D879" s="22" t="s">
        <v>2374</v>
      </c>
      <c r="E879" s="22" t="s">
        <v>100</v>
      </c>
      <c r="F879" s="22">
        <v>4</v>
      </c>
      <c r="G879" s="22" t="s">
        <v>219</v>
      </c>
      <c r="H879" s="5">
        <v>1028.5714285714284</v>
      </c>
      <c r="I879" s="49" t="s">
        <v>681</v>
      </c>
      <c r="J879" s="5" t="s">
        <v>102</v>
      </c>
    </row>
    <row r="880" spans="1:10" ht="30">
      <c r="A880" s="27" t="s">
        <v>2528</v>
      </c>
      <c r="B880" s="22" t="s">
        <v>2377</v>
      </c>
      <c r="C880" s="4" t="s">
        <v>58</v>
      </c>
      <c r="D880" s="22" t="s">
        <v>2378</v>
      </c>
      <c r="E880" s="22" t="s">
        <v>100</v>
      </c>
      <c r="F880" s="22">
        <v>12</v>
      </c>
      <c r="G880" s="22" t="s">
        <v>219</v>
      </c>
      <c r="H880" s="5">
        <v>3150</v>
      </c>
      <c r="I880" s="49" t="s">
        <v>681</v>
      </c>
      <c r="J880" s="5" t="s">
        <v>102</v>
      </c>
    </row>
    <row r="881" spans="1:10" ht="30">
      <c r="A881" s="27" t="s">
        <v>2529</v>
      </c>
      <c r="B881" s="22" t="s">
        <v>2437</v>
      </c>
      <c r="C881" s="4" t="s">
        <v>58</v>
      </c>
      <c r="D881" s="22" t="s">
        <v>2438</v>
      </c>
      <c r="E881" s="22" t="s">
        <v>100</v>
      </c>
      <c r="F881" s="22">
        <v>1</v>
      </c>
      <c r="G881" s="22" t="s">
        <v>219</v>
      </c>
      <c r="H881" s="5">
        <v>187.49999999999997</v>
      </c>
      <c r="I881" s="49" t="s">
        <v>681</v>
      </c>
      <c r="J881" s="5" t="s">
        <v>102</v>
      </c>
    </row>
    <row r="882" spans="1:10" ht="30">
      <c r="A882" s="27" t="s">
        <v>2530</v>
      </c>
      <c r="B882" s="22" t="s">
        <v>2531</v>
      </c>
      <c r="C882" s="4" t="s">
        <v>58</v>
      </c>
      <c r="D882" s="22" t="s">
        <v>2296</v>
      </c>
      <c r="E882" s="22" t="s">
        <v>100</v>
      </c>
      <c r="F882" s="22">
        <v>10</v>
      </c>
      <c r="G882" s="22" t="s">
        <v>219</v>
      </c>
      <c r="H882" s="5">
        <v>5267.8571428571422</v>
      </c>
      <c r="I882" s="49" t="s">
        <v>681</v>
      </c>
      <c r="J882" s="5" t="s">
        <v>102</v>
      </c>
    </row>
    <row r="883" spans="1:10" ht="30">
      <c r="A883" s="27" t="s">
        <v>2532</v>
      </c>
      <c r="B883" s="22" t="s">
        <v>2480</v>
      </c>
      <c r="C883" s="4" t="s">
        <v>58</v>
      </c>
      <c r="D883" s="22" t="s">
        <v>2480</v>
      </c>
      <c r="E883" s="22" t="s">
        <v>100</v>
      </c>
      <c r="F883" s="22">
        <v>2</v>
      </c>
      <c r="G883" s="22" t="s">
        <v>219</v>
      </c>
      <c r="H883" s="5">
        <v>299.99999999999994</v>
      </c>
      <c r="I883" s="49" t="s">
        <v>681</v>
      </c>
      <c r="J883" s="5" t="s">
        <v>102</v>
      </c>
    </row>
    <row r="884" spans="1:10" ht="30">
      <c r="A884" s="27" t="s">
        <v>2533</v>
      </c>
      <c r="B884" s="22" t="s">
        <v>2340</v>
      </c>
      <c r="C884" s="4" t="s">
        <v>58</v>
      </c>
      <c r="D884" s="22" t="s">
        <v>2341</v>
      </c>
      <c r="E884" s="22" t="s">
        <v>2342</v>
      </c>
      <c r="F884" s="22">
        <v>8</v>
      </c>
      <c r="G884" s="22" t="s">
        <v>219</v>
      </c>
      <c r="H884" s="5">
        <v>1799.9999999999998</v>
      </c>
      <c r="I884" s="49" t="s">
        <v>681</v>
      </c>
      <c r="J884" s="5" t="s">
        <v>102</v>
      </c>
    </row>
    <row r="885" spans="1:10" ht="30">
      <c r="A885" s="27" t="s">
        <v>2534</v>
      </c>
      <c r="B885" s="22" t="s">
        <v>2440</v>
      </c>
      <c r="C885" s="4" t="s">
        <v>58</v>
      </c>
      <c r="D885" s="22" t="s">
        <v>2440</v>
      </c>
      <c r="E885" s="22" t="s">
        <v>100</v>
      </c>
      <c r="F885" s="22">
        <v>8</v>
      </c>
      <c r="G885" s="22" t="s">
        <v>219</v>
      </c>
      <c r="H885" s="5">
        <v>4028.571428571428</v>
      </c>
      <c r="I885" s="49" t="s">
        <v>681</v>
      </c>
      <c r="J885" s="5" t="s">
        <v>102</v>
      </c>
    </row>
    <row r="886" spans="1:10" ht="30">
      <c r="A886" s="27" t="s">
        <v>2535</v>
      </c>
      <c r="B886" s="22" t="s">
        <v>2381</v>
      </c>
      <c r="C886" s="4" t="s">
        <v>58</v>
      </c>
      <c r="D886" s="22" t="s">
        <v>2381</v>
      </c>
      <c r="E886" s="22" t="s">
        <v>100</v>
      </c>
      <c r="F886" s="22">
        <v>3</v>
      </c>
      <c r="G886" s="22" t="s">
        <v>219</v>
      </c>
      <c r="H886" s="5">
        <v>4483.9285714285716</v>
      </c>
      <c r="I886" s="49" t="s">
        <v>681</v>
      </c>
      <c r="J886" s="5" t="s">
        <v>102</v>
      </c>
    </row>
    <row r="887" spans="1:10" ht="30">
      <c r="A887" s="27" t="s">
        <v>2536</v>
      </c>
      <c r="B887" s="22" t="s">
        <v>2537</v>
      </c>
      <c r="C887" s="4" t="s">
        <v>58</v>
      </c>
      <c r="D887" s="22" t="s">
        <v>2537</v>
      </c>
      <c r="E887" s="22" t="s">
        <v>100</v>
      </c>
      <c r="F887" s="22">
        <v>1</v>
      </c>
      <c r="G887" s="22" t="s">
        <v>219</v>
      </c>
      <c r="H887" s="5">
        <v>13696.428571428571</v>
      </c>
      <c r="I887" s="49" t="s">
        <v>681</v>
      </c>
      <c r="J887" s="5" t="s">
        <v>102</v>
      </c>
    </row>
    <row r="888" spans="1:10" ht="30">
      <c r="A888" s="27" t="s">
        <v>2538</v>
      </c>
      <c r="B888" s="22" t="s">
        <v>2539</v>
      </c>
      <c r="C888" s="4" t="s">
        <v>58</v>
      </c>
      <c r="D888" s="22" t="s">
        <v>2540</v>
      </c>
      <c r="E888" s="22" t="s">
        <v>604</v>
      </c>
      <c r="F888" s="22">
        <v>1</v>
      </c>
      <c r="G888" s="22" t="s">
        <v>219</v>
      </c>
      <c r="H888" s="5">
        <v>2633.9285714285711</v>
      </c>
      <c r="I888" s="49" t="s">
        <v>681</v>
      </c>
      <c r="J888" s="5" t="s">
        <v>102</v>
      </c>
    </row>
    <row r="889" spans="1:10" ht="30">
      <c r="A889" s="27" t="s">
        <v>2541</v>
      </c>
      <c r="B889" s="22" t="s">
        <v>2344</v>
      </c>
      <c r="C889" s="4" t="s">
        <v>58</v>
      </c>
      <c r="D889" s="22" t="s">
        <v>2344</v>
      </c>
      <c r="E889" s="22" t="s">
        <v>100</v>
      </c>
      <c r="F889" s="22">
        <v>4</v>
      </c>
      <c r="G889" s="22" t="s">
        <v>219</v>
      </c>
      <c r="H889" s="5">
        <v>3685.7142857142853</v>
      </c>
      <c r="I889" s="49" t="s">
        <v>681</v>
      </c>
      <c r="J889" s="5" t="s">
        <v>102</v>
      </c>
    </row>
    <row r="890" spans="1:10" ht="30">
      <c r="A890" s="27" t="s">
        <v>2542</v>
      </c>
      <c r="B890" s="22" t="s">
        <v>2346</v>
      </c>
      <c r="C890" s="4" t="s">
        <v>58</v>
      </c>
      <c r="D890" s="22" t="s">
        <v>2346</v>
      </c>
      <c r="E890" s="22" t="s">
        <v>100</v>
      </c>
      <c r="F890" s="22">
        <v>8</v>
      </c>
      <c r="G890" s="22" t="s">
        <v>219</v>
      </c>
      <c r="H890" s="5">
        <v>5099.9999999999991</v>
      </c>
      <c r="I890" s="49" t="s">
        <v>681</v>
      </c>
      <c r="J890" s="5" t="s">
        <v>102</v>
      </c>
    </row>
    <row r="891" spans="1:10" ht="30">
      <c r="A891" s="27" t="s">
        <v>2543</v>
      </c>
      <c r="B891" s="22" t="s">
        <v>2444</v>
      </c>
      <c r="C891" s="4" t="s">
        <v>58</v>
      </c>
      <c r="D891" s="22" t="s">
        <v>2444</v>
      </c>
      <c r="E891" s="22" t="s">
        <v>100</v>
      </c>
      <c r="F891" s="22">
        <v>15</v>
      </c>
      <c r="G891" s="22" t="s">
        <v>219</v>
      </c>
      <c r="H891" s="5">
        <v>3910.7142857142849</v>
      </c>
      <c r="I891" s="49" t="s">
        <v>681</v>
      </c>
      <c r="J891" s="5" t="s">
        <v>102</v>
      </c>
    </row>
    <row r="892" spans="1:10" ht="30">
      <c r="A892" s="27" t="s">
        <v>2544</v>
      </c>
      <c r="B892" s="22" t="s">
        <v>2348</v>
      </c>
      <c r="C892" s="4" t="s">
        <v>58</v>
      </c>
      <c r="D892" s="22" t="s">
        <v>2348</v>
      </c>
      <c r="E892" s="22" t="s">
        <v>100</v>
      </c>
      <c r="F892" s="22">
        <v>15</v>
      </c>
      <c r="G892" s="22" t="s">
        <v>219</v>
      </c>
      <c r="H892" s="5">
        <v>11584.821428571428</v>
      </c>
      <c r="I892" s="49" t="s">
        <v>681</v>
      </c>
      <c r="J892" s="5" t="s">
        <v>102</v>
      </c>
    </row>
    <row r="893" spans="1:10" ht="30">
      <c r="A893" s="27" t="s">
        <v>2545</v>
      </c>
      <c r="B893" s="22" t="s">
        <v>2546</v>
      </c>
      <c r="C893" s="4" t="s">
        <v>58</v>
      </c>
      <c r="D893" s="22" t="s">
        <v>2546</v>
      </c>
      <c r="E893" s="22" t="s">
        <v>100</v>
      </c>
      <c r="F893" s="22">
        <v>1</v>
      </c>
      <c r="G893" s="22" t="s">
        <v>219</v>
      </c>
      <c r="H893" s="5">
        <v>8233.9285714285706</v>
      </c>
      <c r="I893" s="49" t="s">
        <v>681</v>
      </c>
      <c r="J893" s="5" t="s">
        <v>102</v>
      </c>
    </row>
    <row r="894" spans="1:10" ht="30">
      <c r="A894" s="27" t="s">
        <v>2547</v>
      </c>
      <c r="B894" s="22" t="s">
        <v>2548</v>
      </c>
      <c r="C894" s="4" t="s">
        <v>58</v>
      </c>
      <c r="D894" s="22" t="s">
        <v>2549</v>
      </c>
      <c r="E894" s="22" t="s">
        <v>100</v>
      </c>
      <c r="F894" s="22">
        <v>1</v>
      </c>
      <c r="G894" s="22" t="s">
        <v>219</v>
      </c>
      <c r="H894" s="5">
        <v>13281.249999999998</v>
      </c>
      <c r="I894" s="49" t="s">
        <v>681</v>
      </c>
      <c r="J894" s="5" t="s">
        <v>102</v>
      </c>
    </row>
    <row r="895" spans="1:10" ht="30">
      <c r="A895" s="27" t="s">
        <v>2550</v>
      </c>
      <c r="B895" s="22" t="s">
        <v>2551</v>
      </c>
      <c r="C895" s="4" t="s">
        <v>58</v>
      </c>
      <c r="D895" s="22" t="s">
        <v>2551</v>
      </c>
      <c r="E895" s="22" t="s">
        <v>100</v>
      </c>
      <c r="F895" s="22">
        <v>30</v>
      </c>
      <c r="G895" s="22" t="s">
        <v>219</v>
      </c>
      <c r="H895" s="5">
        <v>1741.0714285714284</v>
      </c>
      <c r="I895" s="49" t="s">
        <v>681</v>
      </c>
      <c r="J895" s="5" t="s">
        <v>102</v>
      </c>
    </row>
    <row r="896" spans="1:10" ht="30">
      <c r="A896" s="27" t="s">
        <v>2552</v>
      </c>
      <c r="B896" s="22" t="s">
        <v>2553</v>
      </c>
      <c r="C896" s="4" t="s">
        <v>58</v>
      </c>
      <c r="D896" s="22" t="s">
        <v>2553</v>
      </c>
      <c r="E896" s="22" t="s">
        <v>100</v>
      </c>
      <c r="F896" s="22">
        <v>30</v>
      </c>
      <c r="G896" s="22" t="s">
        <v>219</v>
      </c>
      <c r="H896" s="5">
        <v>1741.0714285714284</v>
      </c>
      <c r="I896" s="49" t="s">
        <v>681</v>
      </c>
      <c r="J896" s="5" t="s">
        <v>102</v>
      </c>
    </row>
    <row r="897" spans="1:10" ht="45">
      <c r="A897" s="27" t="s">
        <v>2554</v>
      </c>
      <c r="B897" s="17" t="s">
        <v>603</v>
      </c>
      <c r="C897" s="4" t="s">
        <v>58</v>
      </c>
      <c r="D897" s="22" t="s">
        <v>2350</v>
      </c>
      <c r="E897" s="22" t="s">
        <v>604</v>
      </c>
      <c r="F897" s="22">
        <v>63</v>
      </c>
      <c r="G897" s="22" t="s">
        <v>292</v>
      </c>
      <c r="H897" s="5">
        <v>75892.85714285713</v>
      </c>
      <c r="I897" s="49" t="s">
        <v>681</v>
      </c>
      <c r="J897" s="5" t="s">
        <v>102</v>
      </c>
    </row>
    <row r="898" spans="1:10" ht="30">
      <c r="A898" s="27" t="s">
        <v>2555</v>
      </c>
      <c r="B898" s="22" t="s">
        <v>2352</v>
      </c>
      <c r="C898" s="4" t="s">
        <v>58</v>
      </c>
      <c r="D898" s="22" t="s">
        <v>2353</v>
      </c>
      <c r="E898" s="22" t="s">
        <v>100</v>
      </c>
      <c r="F898" s="22">
        <v>10</v>
      </c>
      <c r="G898" s="22" t="s">
        <v>292</v>
      </c>
      <c r="H898" s="5">
        <v>589.28571428571422</v>
      </c>
      <c r="I898" s="49" t="s">
        <v>681</v>
      </c>
      <c r="J898" s="5" t="s">
        <v>102</v>
      </c>
    </row>
    <row r="899" spans="1:10" ht="30">
      <c r="A899" s="27" t="s">
        <v>2556</v>
      </c>
      <c r="B899" s="17" t="s">
        <v>2355</v>
      </c>
      <c r="C899" s="4" t="s">
        <v>58</v>
      </c>
      <c r="D899" s="22" t="s">
        <v>2356</v>
      </c>
      <c r="E899" s="22" t="s">
        <v>100</v>
      </c>
      <c r="F899" s="22">
        <v>7</v>
      </c>
      <c r="G899" s="22" t="s">
        <v>292</v>
      </c>
      <c r="H899" s="5">
        <v>5571.4285714285706</v>
      </c>
      <c r="I899" s="49" t="s">
        <v>681</v>
      </c>
      <c r="J899" s="5" t="s">
        <v>102</v>
      </c>
    </row>
    <row r="900" spans="1:10" ht="30">
      <c r="A900" s="27" t="s">
        <v>2557</v>
      </c>
      <c r="B900" s="17" t="s">
        <v>2355</v>
      </c>
      <c r="C900" s="4" t="s">
        <v>58</v>
      </c>
      <c r="D900" s="22" t="s">
        <v>2358</v>
      </c>
      <c r="E900" s="22" t="s">
        <v>100</v>
      </c>
      <c r="F900" s="22">
        <v>10</v>
      </c>
      <c r="G900" s="22" t="s">
        <v>292</v>
      </c>
      <c r="H900" s="5">
        <v>5303.5714285714275</v>
      </c>
      <c r="I900" s="49" t="s">
        <v>681</v>
      </c>
      <c r="J900" s="5" t="s">
        <v>102</v>
      </c>
    </row>
    <row r="901" spans="1:10" ht="30">
      <c r="A901" s="27" t="s">
        <v>2558</v>
      </c>
      <c r="B901" s="22" t="s">
        <v>2458</v>
      </c>
      <c r="C901" s="4" t="s">
        <v>58</v>
      </c>
      <c r="D901" s="22" t="s">
        <v>2459</v>
      </c>
      <c r="E901" s="22" t="s">
        <v>100</v>
      </c>
      <c r="F901" s="22">
        <v>1</v>
      </c>
      <c r="G901" s="22" t="s">
        <v>292</v>
      </c>
      <c r="H901" s="5">
        <v>321.42857142857139</v>
      </c>
      <c r="I901" s="49" t="s">
        <v>681</v>
      </c>
      <c r="J901" s="5" t="s">
        <v>102</v>
      </c>
    </row>
    <row r="902" spans="1:10" ht="30">
      <c r="A902" s="27" t="s">
        <v>2559</v>
      </c>
      <c r="B902" s="22" t="s">
        <v>2461</v>
      </c>
      <c r="C902" s="4" t="s">
        <v>58</v>
      </c>
      <c r="D902" s="22" t="s">
        <v>2462</v>
      </c>
      <c r="E902" s="22" t="s">
        <v>100</v>
      </c>
      <c r="F902" s="22">
        <v>1</v>
      </c>
      <c r="G902" s="22" t="s">
        <v>292</v>
      </c>
      <c r="H902" s="5">
        <v>321.42857142857139</v>
      </c>
      <c r="I902" s="49" t="s">
        <v>681</v>
      </c>
      <c r="J902" s="5" t="s">
        <v>102</v>
      </c>
    </row>
    <row r="903" spans="1:10" ht="30">
      <c r="A903" s="27" t="s">
        <v>2560</v>
      </c>
      <c r="B903" s="22" t="s">
        <v>2362</v>
      </c>
      <c r="C903" s="4" t="s">
        <v>58</v>
      </c>
      <c r="D903" s="22" t="s">
        <v>2363</v>
      </c>
      <c r="E903" s="22" t="s">
        <v>100</v>
      </c>
      <c r="F903" s="22">
        <v>200</v>
      </c>
      <c r="G903" s="22" t="s">
        <v>292</v>
      </c>
      <c r="H903" s="5">
        <v>5357.1428571428569</v>
      </c>
      <c r="I903" s="49" t="s">
        <v>681</v>
      </c>
      <c r="J903" s="5" t="s">
        <v>102</v>
      </c>
    </row>
    <row r="904" spans="1:10" ht="30">
      <c r="A904" s="27" t="s">
        <v>2561</v>
      </c>
      <c r="B904" s="17" t="s">
        <v>2212</v>
      </c>
      <c r="C904" s="4" t="s">
        <v>58</v>
      </c>
      <c r="D904" s="22" t="s">
        <v>2213</v>
      </c>
      <c r="E904" s="22" t="s">
        <v>100</v>
      </c>
      <c r="F904" s="22">
        <v>6</v>
      </c>
      <c r="G904" s="22" t="s">
        <v>292</v>
      </c>
      <c r="H904" s="5">
        <v>6739.2857142857138</v>
      </c>
      <c r="I904" s="49" t="s">
        <v>681</v>
      </c>
      <c r="J904" s="5" t="s">
        <v>102</v>
      </c>
    </row>
    <row r="905" spans="1:10" ht="30">
      <c r="A905" s="27" t="s">
        <v>2562</v>
      </c>
      <c r="B905" s="17" t="s">
        <v>2212</v>
      </c>
      <c r="C905" s="4" t="s">
        <v>58</v>
      </c>
      <c r="D905" s="22" t="s">
        <v>2494</v>
      </c>
      <c r="E905" s="22" t="s">
        <v>100</v>
      </c>
      <c r="F905" s="22">
        <v>8</v>
      </c>
      <c r="G905" s="22" t="s">
        <v>292</v>
      </c>
      <c r="H905" s="5">
        <v>7446.4285714285706</v>
      </c>
      <c r="I905" s="49" t="s">
        <v>681</v>
      </c>
      <c r="J905" s="5" t="s">
        <v>102</v>
      </c>
    </row>
    <row r="906" spans="1:10" ht="30">
      <c r="A906" s="27" t="s">
        <v>2563</v>
      </c>
      <c r="B906" s="22" t="s">
        <v>2313</v>
      </c>
      <c r="C906" s="4" t="s">
        <v>58</v>
      </c>
      <c r="D906" s="22" t="s">
        <v>2313</v>
      </c>
      <c r="E906" s="22" t="s">
        <v>100</v>
      </c>
      <c r="F906" s="22">
        <v>20</v>
      </c>
      <c r="G906" s="22" t="s">
        <v>292</v>
      </c>
      <c r="H906" s="5">
        <v>714.28571428571422</v>
      </c>
      <c r="I906" s="49" t="s">
        <v>681</v>
      </c>
      <c r="J906" s="5" t="s">
        <v>102</v>
      </c>
    </row>
    <row r="907" spans="1:10" ht="30">
      <c r="A907" s="27" t="s">
        <v>2564</v>
      </c>
      <c r="B907" s="17" t="s">
        <v>2276</v>
      </c>
      <c r="C907" s="4" t="s">
        <v>58</v>
      </c>
      <c r="D907" s="22" t="s">
        <v>2315</v>
      </c>
      <c r="E907" s="22" t="s">
        <v>2316</v>
      </c>
      <c r="F907" s="22">
        <v>9</v>
      </c>
      <c r="G907" s="22" t="s">
        <v>292</v>
      </c>
      <c r="H907" s="5">
        <v>7499.9999999999991</v>
      </c>
      <c r="I907" s="49" t="s">
        <v>681</v>
      </c>
      <c r="J907" s="5" t="s">
        <v>102</v>
      </c>
    </row>
    <row r="908" spans="1:10" ht="30">
      <c r="A908" s="27" t="s">
        <v>2565</v>
      </c>
      <c r="B908" s="22" t="s">
        <v>2180</v>
      </c>
      <c r="C908" s="4" t="s">
        <v>58</v>
      </c>
      <c r="D908" s="22" t="s">
        <v>2318</v>
      </c>
      <c r="E908" s="22" t="s">
        <v>100</v>
      </c>
      <c r="F908" s="22">
        <v>100</v>
      </c>
      <c r="G908" s="22" t="s">
        <v>292</v>
      </c>
      <c r="H908" s="5">
        <v>6696.4285714285706</v>
      </c>
      <c r="I908" s="49" t="s">
        <v>681</v>
      </c>
      <c r="J908" s="5" t="s">
        <v>102</v>
      </c>
    </row>
    <row r="909" spans="1:10" ht="30">
      <c r="A909" s="27" t="s">
        <v>2566</v>
      </c>
      <c r="B909" s="22" t="s">
        <v>2180</v>
      </c>
      <c r="C909" s="4" t="s">
        <v>58</v>
      </c>
      <c r="D909" s="22" t="s">
        <v>2393</v>
      </c>
      <c r="E909" s="22" t="s">
        <v>100</v>
      </c>
      <c r="F909" s="22">
        <v>20</v>
      </c>
      <c r="G909" s="22" t="s">
        <v>292</v>
      </c>
      <c r="H909" s="5">
        <v>1999.9999999999998</v>
      </c>
      <c r="I909" s="49" t="s">
        <v>681</v>
      </c>
      <c r="J909" s="5" t="s">
        <v>102</v>
      </c>
    </row>
    <row r="910" spans="1:10" ht="30">
      <c r="A910" s="27" t="s">
        <v>2567</v>
      </c>
      <c r="B910" s="22" t="s">
        <v>2396</v>
      </c>
      <c r="C910" s="4" t="s">
        <v>58</v>
      </c>
      <c r="D910" s="22" t="s">
        <v>2396</v>
      </c>
      <c r="E910" s="22" t="s">
        <v>100</v>
      </c>
      <c r="F910" s="22">
        <v>30</v>
      </c>
      <c r="G910" s="22" t="s">
        <v>292</v>
      </c>
      <c r="H910" s="5">
        <v>2732.1428571428569</v>
      </c>
      <c r="I910" s="49" t="s">
        <v>681</v>
      </c>
      <c r="J910" s="5" t="s">
        <v>102</v>
      </c>
    </row>
    <row r="911" spans="1:10" ht="30">
      <c r="A911" s="27" t="s">
        <v>2568</v>
      </c>
      <c r="B911" s="22" t="s">
        <v>2326</v>
      </c>
      <c r="C911" s="4" t="s">
        <v>58</v>
      </c>
      <c r="D911" s="22" t="s">
        <v>2326</v>
      </c>
      <c r="E911" s="22" t="s">
        <v>100</v>
      </c>
      <c r="F911" s="22">
        <v>20</v>
      </c>
      <c r="G911" s="22" t="s">
        <v>292</v>
      </c>
      <c r="H911" s="5">
        <v>257.14285714285711</v>
      </c>
      <c r="I911" s="49" t="s">
        <v>681</v>
      </c>
      <c r="J911" s="5" t="s">
        <v>102</v>
      </c>
    </row>
    <row r="912" spans="1:10" ht="30">
      <c r="A912" s="27" t="s">
        <v>2569</v>
      </c>
      <c r="B912" s="22" t="s">
        <v>2248</v>
      </c>
      <c r="C912" s="4" t="s">
        <v>58</v>
      </c>
      <c r="D912" s="22" t="s">
        <v>2248</v>
      </c>
      <c r="E912" s="22" t="s">
        <v>100</v>
      </c>
      <c r="F912" s="22">
        <v>20</v>
      </c>
      <c r="G912" s="22" t="s">
        <v>292</v>
      </c>
      <c r="H912" s="5">
        <v>1714.2857142857142</v>
      </c>
      <c r="I912" s="49" t="s">
        <v>681</v>
      </c>
      <c r="J912" s="5" t="s">
        <v>102</v>
      </c>
    </row>
    <row r="913" spans="1:10" ht="30">
      <c r="A913" s="27" t="s">
        <v>2570</v>
      </c>
      <c r="B913" s="22" t="s">
        <v>2208</v>
      </c>
      <c r="C913" s="4" t="s">
        <v>58</v>
      </c>
      <c r="D913" s="22" t="s">
        <v>2208</v>
      </c>
      <c r="E913" s="22" t="s">
        <v>100</v>
      </c>
      <c r="F913" s="22">
        <v>30</v>
      </c>
      <c r="G913" s="22" t="s">
        <v>292</v>
      </c>
      <c r="H913" s="5">
        <v>1285.7142857142856</v>
      </c>
      <c r="I913" s="49" t="s">
        <v>681</v>
      </c>
      <c r="J913" s="5" t="s">
        <v>102</v>
      </c>
    </row>
    <row r="914" spans="1:10" ht="30">
      <c r="A914" s="27" t="s">
        <v>2571</v>
      </c>
      <c r="B914" s="22" t="s">
        <v>2280</v>
      </c>
      <c r="C914" s="4" t="s">
        <v>58</v>
      </c>
      <c r="D914" s="22" t="s">
        <v>2280</v>
      </c>
      <c r="E914" s="22" t="s">
        <v>100</v>
      </c>
      <c r="F914" s="22">
        <v>10</v>
      </c>
      <c r="G914" s="22" t="s">
        <v>292</v>
      </c>
      <c r="H914" s="5">
        <v>2839.2857142857138</v>
      </c>
      <c r="I914" s="49" t="s">
        <v>681</v>
      </c>
      <c r="J914" s="5" t="s">
        <v>102</v>
      </c>
    </row>
    <row r="915" spans="1:10" ht="30">
      <c r="A915" s="27" t="s">
        <v>2572</v>
      </c>
      <c r="B915" s="22" t="s">
        <v>2401</v>
      </c>
      <c r="C915" s="4" t="s">
        <v>58</v>
      </c>
      <c r="D915" s="22" t="s">
        <v>2401</v>
      </c>
      <c r="E915" s="22" t="s">
        <v>100</v>
      </c>
      <c r="F915" s="22">
        <v>1</v>
      </c>
      <c r="G915" s="22" t="s">
        <v>292</v>
      </c>
      <c r="H915" s="5">
        <v>289.28571428571428</v>
      </c>
      <c r="I915" s="49" t="s">
        <v>681</v>
      </c>
      <c r="J915" s="5" t="s">
        <v>102</v>
      </c>
    </row>
    <row r="916" spans="1:10" ht="30">
      <c r="A916" s="27" t="s">
        <v>2573</v>
      </c>
      <c r="B916" s="22" t="s">
        <v>2403</v>
      </c>
      <c r="C916" s="4" t="s">
        <v>58</v>
      </c>
      <c r="D916" s="22" t="s">
        <v>2403</v>
      </c>
      <c r="E916" s="22" t="s">
        <v>100</v>
      </c>
      <c r="F916" s="22">
        <v>20</v>
      </c>
      <c r="G916" s="22" t="s">
        <v>292</v>
      </c>
      <c r="H916" s="5">
        <v>3535.7142857142853</v>
      </c>
      <c r="I916" s="49" t="s">
        <v>681</v>
      </c>
      <c r="J916" s="5" t="s">
        <v>102</v>
      </c>
    </row>
    <row r="917" spans="1:10" ht="30">
      <c r="A917" s="27" t="s">
        <v>2574</v>
      </c>
      <c r="B917" s="22" t="s">
        <v>2305</v>
      </c>
      <c r="C917" s="4" t="s">
        <v>58</v>
      </c>
      <c r="D917" s="22" t="s">
        <v>2305</v>
      </c>
      <c r="E917" s="22" t="s">
        <v>604</v>
      </c>
      <c r="F917" s="22">
        <v>20</v>
      </c>
      <c r="G917" s="22" t="s">
        <v>292</v>
      </c>
      <c r="H917" s="5">
        <v>3964.2857142857138</v>
      </c>
      <c r="I917" s="49" t="s">
        <v>681</v>
      </c>
      <c r="J917" s="5" t="s">
        <v>102</v>
      </c>
    </row>
    <row r="918" spans="1:10" ht="30">
      <c r="A918" s="27" t="s">
        <v>2575</v>
      </c>
      <c r="B918" s="22" t="s">
        <v>2238</v>
      </c>
      <c r="C918" s="4" t="s">
        <v>58</v>
      </c>
      <c r="D918" s="22" t="s">
        <v>2225</v>
      </c>
      <c r="E918" s="22" t="s">
        <v>604</v>
      </c>
      <c r="F918" s="22">
        <v>20</v>
      </c>
      <c r="G918" s="22" t="s">
        <v>292</v>
      </c>
      <c r="H918" s="5">
        <v>1714.2857142857142</v>
      </c>
      <c r="I918" s="49" t="s">
        <v>681</v>
      </c>
      <c r="J918" s="5" t="s">
        <v>102</v>
      </c>
    </row>
    <row r="919" spans="1:10" ht="30">
      <c r="A919" s="27" t="s">
        <v>2576</v>
      </c>
      <c r="B919" s="22" t="s">
        <v>2369</v>
      </c>
      <c r="C919" s="4" t="s">
        <v>58</v>
      </c>
      <c r="D919" s="22" t="s">
        <v>2369</v>
      </c>
      <c r="E919" s="22" t="s">
        <v>604</v>
      </c>
      <c r="F919" s="22">
        <v>20</v>
      </c>
      <c r="G919" s="22" t="s">
        <v>292</v>
      </c>
      <c r="H919" s="5">
        <v>964.28571428571422</v>
      </c>
      <c r="I919" s="49" t="s">
        <v>681</v>
      </c>
      <c r="J919" s="5" t="s">
        <v>102</v>
      </c>
    </row>
    <row r="920" spans="1:10" ht="30">
      <c r="A920" s="27" t="s">
        <v>2577</v>
      </c>
      <c r="B920" s="22" t="s">
        <v>2233</v>
      </c>
      <c r="C920" s="4" t="s">
        <v>58</v>
      </c>
      <c r="D920" s="22" t="s">
        <v>2412</v>
      </c>
      <c r="E920" s="22" t="s">
        <v>100</v>
      </c>
      <c r="F920" s="22">
        <v>10</v>
      </c>
      <c r="G920" s="22" t="s">
        <v>292</v>
      </c>
      <c r="H920" s="5">
        <v>5142.8571428571422</v>
      </c>
      <c r="I920" s="49" t="s">
        <v>681</v>
      </c>
      <c r="J920" s="5" t="s">
        <v>102</v>
      </c>
    </row>
    <row r="921" spans="1:10" ht="30">
      <c r="A921" s="27" t="s">
        <v>2578</v>
      </c>
      <c r="B921" s="22" t="s">
        <v>2233</v>
      </c>
      <c r="C921" s="4" t="s">
        <v>58</v>
      </c>
      <c r="D921" s="22" t="s">
        <v>2414</v>
      </c>
      <c r="E921" s="22" t="s">
        <v>100</v>
      </c>
      <c r="F921" s="22">
        <v>10</v>
      </c>
      <c r="G921" s="22" t="s">
        <v>292</v>
      </c>
      <c r="H921" s="5">
        <v>7339.2857142857138</v>
      </c>
      <c r="I921" s="49" t="s">
        <v>681</v>
      </c>
      <c r="J921" s="5" t="s">
        <v>102</v>
      </c>
    </row>
    <row r="922" spans="1:10" ht="30">
      <c r="A922" s="27" t="s">
        <v>2579</v>
      </c>
      <c r="B922" s="22" t="s">
        <v>2174</v>
      </c>
      <c r="C922" s="4" t="s">
        <v>58</v>
      </c>
      <c r="D922" s="22" t="s">
        <v>2174</v>
      </c>
      <c r="E922" s="22" t="s">
        <v>100</v>
      </c>
      <c r="F922" s="22">
        <v>10</v>
      </c>
      <c r="G922" s="22" t="s">
        <v>292</v>
      </c>
      <c r="H922" s="5">
        <v>1339.2857142857142</v>
      </c>
      <c r="I922" s="49" t="s">
        <v>681</v>
      </c>
      <c r="J922" s="5" t="s">
        <v>102</v>
      </c>
    </row>
    <row r="923" spans="1:10" ht="30">
      <c r="A923" s="27" t="s">
        <v>2580</v>
      </c>
      <c r="B923" s="22" t="s">
        <v>2417</v>
      </c>
      <c r="C923" s="4" t="s">
        <v>58</v>
      </c>
      <c r="D923" s="22" t="s">
        <v>2418</v>
      </c>
      <c r="E923" s="22" t="s">
        <v>604</v>
      </c>
      <c r="F923" s="22">
        <v>5</v>
      </c>
      <c r="G923" s="22" t="s">
        <v>292</v>
      </c>
      <c r="H923" s="5">
        <v>749.99999999999989</v>
      </c>
      <c r="I923" s="49" t="s">
        <v>681</v>
      </c>
      <c r="J923" s="5" t="s">
        <v>102</v>
      </c>
    </row>
    <row r="924" spans="1:10" ht="30">
      <c r="A924" s="27" t="s">
        <v>2581</v>
      </c>
      <c r="B924" s="22" t="s">
        <v>2417</v>
      </c>
      <c r="C924" s="4" t="s">
        <v>58</v>
      </c>
      <c r="D924" s="22" t="s">
        <v>2420</v>
      </c>
      <c r="E924" s="22" t="s">
        <v>604</v>
      </c>
      <c r="F924" s="22">
        <v>5</v>
      </c>
      <c r="G924" s="22" t="s">
        <v>292</v>
      </c>
      <c r="H924" s="5">
        <v>1928.5714285714284</v>
      </c>
      <c r="I924" s="49" t="s">
        <v>681</v>
      </c>
      <c r="J924" s="5" t="s">
        <v>102</v>
      </c>
    </row>
    <row r="925" spans="1:10" ht="30">
      <c r="A925" s="27" t="s">
        <v>2582</v>
      </c>
      <c r="B925" s="22" t="s">
        <v>2417</v>
      </c>
      <c r="C925" s="4" t="s">
        <v>58</v>
      </c>
      <c r="D925" s="22" t="s">
        <v>2422</v>
      </c>
      <c r="E925" s="22" t="s">
        <v>604</v>
      </c>
      <c r="F925" s="22">
        <v>5</v>
      </c>
      <c r="G925" s="22" t="s">
        <v>292</v>
      </c>
      <c r="H925" s="5">
        <v>3187.4999999999995</v>
      </c>
      <c r="I925" s="49" t="s">
        <v>681</v>
      </c>
      <c r="J925" s="5" t="s">
        <v>102</v>
      </c>
    </row>
    <row r="926" spans="1:10" ht="30">
      <c r="A926" s="27" t="s">
        <v>2583</v>
      </c>
      <c r="B926" s="22" t="s">
        <v>2203</v>
      </c>
      <c r="C926" s="4" t="s">
        <v>58</v>
      </c>
      <c r="D926" s="22" t="s">
        <v>2204</v>
      </c>
      <c r="E926" s="22" t="s">
        <v>100</v>
      </c>
      <c r="F926" s="22">
        <v>40</v>
      </c>
      <c r="G926" s="22" t="s">
        <v>292</v>
      </c>
      <c r="H926" s="5">
        <v>5999.9999999999991</v>
      </c>
      <c r="I926" s="49" t="s">
        <v>681</v>
      </c>
      <c r="J926" s="5" t="s">
        <v>102</v>
      </c>
    </row>
    <row r="927" spans="1:10" ht="30">
      <c r="A927" s="27" t="s">
        <v>2584</v>
      </c>
      <c r="B927" s="22" t="s">
        <v>2332</v>
      </c>
      <c r="C927" s="4" t="s">
        <v>58</v>
      </c>
      <c r="D927" s="22" t="s">
        <v>2333</v>
      </c>
      <c r="E927" s="22" t="s">
        <v>100</v>
      </c>
      <c r="F927" s="22">
        <v>30</v>
      </c>
      <c r="G927" s="22" t="s">
        <v>292</v>
      </c>
      <c r="H927" s="5">
        <v>2571.4285714285711</v>
      </c>
      <c r="I927" s="49" t="s">
        <v>681</v>
      </c>
      <c r="J927" s="5" t="s">
        <v>102</v>
      </c>
    </row>
    <row r="928" spans="1:10" ht="30">
      <c r="A928" s="27" t="s">
        <v>2585</v>
      </c>
      <c r="B928" s="22" t="s">
        <v>2335</v>
      </c>
      <c r="C928" s="4" t="s">
        <v>58</v>
      </c>
      <c r="D928" s="22" t="s">
        <v>2336</v>
      </c>
      <c r="E928" s="22" t="s">
        <v>100</v>
      </c>
      <c r="F928" s="22">
        <v>50</v>
      </c>
      <c r="G928" s="22" t="s">
        <v>292</v>
      </c>
      <c r="H928" s="5">
        <v>11830.357142857141</v>
      </c>
      <c r="I928" s="49" t="s">
        <v>681</v>
      </c>
      <c r="J928" s="5" t="s">
        <v>102</v>
      </c>
    </row>
    <row r="929" spans="1:10" ht="30">
      <c r="A929" s="27" t="s">
        <v>2586</v>
      </c>
      <c r="B929" s="22" t="s">
        <v>2427</v>
      </c>
      <c r="C929" s="4" t="s">
        <v>58</v>
      </c>
      <c r="D929" s="22" t="s">
        <v>2427</v>
      </c>
      <c r="E929" s="22" t="s">
        <v>100</v>
      </c>
      <c r="F929" s="22">
        <v>5</v>
      </c>
      <c r="G929" s="22" t="s">
        <v>292</v>
      </c>
      <c r="H929" s="5">
        <v>9374.9999999999982</v>
      </c>
      <c r="I929" s="49" t="s">
        <v>681</v>
      </c>
      <c r="J929" s="5" t="s">
        <v>102</v>
      </c>
    </row>
    <row r="930" spans="1:10" ht="30">
      <c r="A930" s="27" t="s">
        <v>2587</v>
      </c>
      <c r="B930" s="22" t="s">
        <v>443</v>
      </c>
      <c r="C930" s="4" t="s">
        <v>58</v>
      </c>
      <c r="D930" s="22" t="s">
        <v>2215</v>
      </c>
      <c r="E930" s="22" t="s">
        <v>100</v>
      </c>
      <c r="F930" s="22">
        <v>50</v>
      </c>
      <c r="G930" s="22" t="s">
        <v>292</v>
      </c>
      <c r="H930" s="5">
        <v>7232.1428571428569</v>
      </c>
      <c r="I930" s="49" t="s">
        <v>681</v>
      </c>
      <c r="J930" s="5" t="s">
        <v>102</v>
      </c>
    </row>
    <row r="931" spans="1:10" ht="30">
      <c r="A931" s="27" t="s">
        <v>2588</v>
      </c>
      <c r="B931" s="22" t="s">
        <v>2430</v>
      </c>
      <c r="C931" s="4" t="s">
        <v>58</v>
      </c>
      <c r="D931" s="22" t="s">
        <v>2431</v>
      </c>
      <c r="E931" s="22" t="s">
        <v>100</v>
      </c>
      <c r="F931" s="22">
        <v>10</v>
      </c>
      <c r="G931" s="22" t="s">
        <v>292</v>
      </c>
      <c r="H931" s="5">
        <v>3321.4285714285711</v>
      </c>
      <c r="I931" s="49" t="s">
        <v>681</v>
      </c>
      <c r="J931" s="5" t="s">
        <v>102</v>
      </c>
    </row>
    <row r="932" spans="1:10" ht="30">
      <c r="A932" s="27" t="s">
        <v>2589</v>
      </c>
      <c r="B932" s="22" t="s">
        <v>2270</v>
      </c>
      <c r="C932" s="4" t="s">
        <v>58</v>
      </c>
      <c r="D932" s="22" t="s">
        <v>2271</v>
      </c>
      <c r="E932" s="22" t="s">
        <v>100</v>
      </c>
      <c r="F932" s="22">
        <v>5</v>
      </c>
      <c r="G932" s="22" t="s">
        <v>292</v>
      </c>
      <c r="H932" s="5">
        <v>9642.8571428571413</v>
      </c>
      <c r="I932" s="49" t="s">
        <v>681</v>
      </c>
      <c r="J932" s="5" t="s">
        <v>102</v>
      </c>
    </row>
    <row r="933" spans="1:10" ht="30">
      <c r="A933" s="27" t="s">
        <v>2590</v>
      </c>
      <c r="B933" s="22" t="s">
        <v>395</v>
      </c>
      <c r="C933" s="4" t="s">
        <v>58</v>
      </c>
      <c r="D933" s="22" t="s">
        <v>2372</v>
      </c>
      <c r="E933" s="22" t="s">
        <v>100</v>
      </c>
      <c r="F933" s="22">
        <v>5</v>
      </c>
      <c r="G933" s="22" t="s">
        <v>292</v>
      </c>
      <c r="H933" s="5">
        <v>2116.0714285714284</v>
      </c>
      <c r="I933" s="49" t="s">
        <v>681</v>
      </c>
      <c r="J933" s="5" t="s">
        <v>102</v>
      </c>
    </row>
    <row r="934" spans="1:10" ht="30">
      <c r="A934" s="27" t="s">
        <v>2591</v>
      </c>
      <c r="B934" s="22" t="s">
        <v>395</v>
      </c>
      <c r="C934" s="4" t="s">
        <v>58</v>
      </c>
      <c r="D934" s="22" t="s">
        <v>2374</v>
      </c>
      <c r="E934" s="22" t="s">
        <v>100</v>
      </c>
      <c r="F934" s="22">
        <v>5</v>
      </c>
      <c r="G934" s="22" t="s">
        <v>292</v>
      </c>
      <c r="H934" s="5">
        <v>1285.7142857142856</v>
      </c>
      <c r="I934" s="49" t="s">
        <v>681</v>
      </c>
      <c r="J934" s="5" t="s">
        <v>102</v>
      </c>
    </row>
    <row r="935" spans="1:10" ht="30">
      <c r="A935" s="27" t="s">
        <v>2592</v>
      </c>
      <c r="B935" s="22" t="s">
        <v>395</v>
      </c>
      <c r="C935" s="4" t="s">
        <v>58</v>
      </c>
      <c r="D935" s="22" t="s">
        <v>2338</v>
      </c>
      <c r="E935" s="22" t="s">
        <v>100</v>
      </c>
      <c r="F935" s="22">
        <v>5</v>
      </c>
      <c r="G935" s="22" t="s">
        <v>292</v>
      </c>
      <c r="H935" s="5">
        <v>191.96428571428569</v>
      </c>
      <c r="I935" s="49" t="s">
        <v>681</v>
      </c>
      <c r="J935" s="5" t="s">
        <v>102</v>
      </c>
    </row>
    <row r="936" spans="1:10" ht="30">
      <c r="A936" s="27" t="s">
        <v>2593</v>
      </c>
      <c r="B936" s="22" t="s">
        <v>2377</v>
      </c>
      <c r="C936" s="4" t="s">
        <v>58</v>
      </c>
      <c r="D936" s="22" t="s">
        <v>2378</v>
      </c>
      <c r="E936" s="22" t="s">
        <v>100</v>
      </c>
      <c r="F936" s="22">
        <v>20</v>
      </c>
      <c r="G936" s="22" t="s">
        <v>292</v>
      </c>
      <c r="H936" s="5">
        <v>5250</v>
      </c>
      <c r="I936" s="49" t="s">
        <v>681</v>
      </c>
      <c r="J936" s="5" t="s">
        <v>102</v>
      </c>
    </row>
    <row r="937" spans="1:10" ht="30">
      <c r="A937" s="27" t="s">
        <v>2594</v>
      </c>
      <c r="B937" s="22" t="s">
        <v>2531</v>
      </c>
      <c r="C937" s="4" t="s">
        <v>58</v>
      </c>
      <c r="D937" s="22" t="s">
        <v>2296</v>
      </c>
      <c r="E937" s="22" t="s">
        <v>100</v>
      </c>
      <c r="F937" s="22">
        <v>40</v>
      </c>
      <c r="G937" s="22" t="s">
        <v>292</v>
      </c>
      <c r="H937" s="5">
        <v>21071.428571428569</v>
      </c>
      <c r="I937" s="49" t="s">
        <v>681</v>
      </c>
      <c r="J937" s="5" t="s">
        <v>102</v>
      </c>
    </row>
    <row r="938" spans="1:10" ht="30">
      <c r="A938" s="27" t="s">
        <v>2595</v>
      </c>
      <c r="B938" s="22" t="s">
        <v>2480</v>
      </c>
      <c r="C938" s="4" t="s">
        <v>58</v>
      </c>
      <c r="D938" s="22" t="s">
        <v>2480</v>
      </c>
      <c r="E938" s="22" t="s">
        <v>100</v>
      </c>
      <c r="F938" s="22">
        <v>10</v>
      </c>
      <c r="G938" s="22" t="s">
        <v>292</v>
      </c>
      <c r="H938" s="5">
        <v>1499.9999999999998</v>
      </c>
      <c r="I938" s="49" t="s">
        <v>681</v>
      </c>
      <c r="J938" s="5" t="s">
        <v>102</v>
      </c>
    </row>
    <row r="939" spans="1:10" ht="30">
      <c r="A939" s="27" t="s">
        <v>2596</v>
      </c>
      <c r="B939" s="22" t="s">
        <v>2340</v>
      </c>
      <c r="C939" s="4" t="s">
        <v>58</v>
      </c>
      <c r="D939" s="22" t="s">
        <v>2341</v>
      </c>
      <c r="E939" s="22" t="s">
        <v>2342</v>
      </c>
      <c r="F939" s="22">
        <v>10</v>
      </c>
      <c r="G939" s="22" t="s">
        <v>292</v>
      </c>
      <c r="H939" s="5">
        <v>2249.9999999999995</v>
      </c>
      <c r="I939" s="49" t="s">
        <v>681</v>
      </c>
      <c r="J939" s="5" t="s">
        <v>102</v>
      </c>
    </row>
    <row r="940" spans="1:10" ht="30">
      <c r="A940" s="27" t="s">
        <v>2597</v>
      </c>
      <c r="B940" s="22" t="s">
        <v>2440</v>
      </c>
      <c r="C940" s="4" t="s">
        <v>58</v>
      </c>
      <c r="D940" s="22" t="s">
        <v>2440</v>
      </c>
      <c r="E940" s="22" t="s">
        <v>100</v>
      </c>
      <c r="F940" s="22">
        <v>100</v>
      </c>
      <c r="G940" s="22" t="s">
        <v>292</v>
      </c>
      <c r="H940" s="5">
        <v>50357.142857142848</v>
      </c>
      <c r="I940" s="49" t="s">
        <v>681</v>
      </c>
      <c r="J940" s="5" t="s">
        <v>102</v>
      </c>
    </row>
    <row r="941" spans="1:10" ht="30">
      <c r="A941" s="27" t="s">
        <v>2598</v>
      </c>
      <c r="B941" s="22" t="s">
        <v>2381</v>
      </c>
      <c r="C941" s="4" t="s">
        <v>58</v>
      </c>
      <c r="D941" s="22" t="s">
        <v>2381</v>
      </c>
      <c r="E941" s="22" t="s">
        <v>100</v>
      </c>
      <c r="F941" s="22">
        <v>20</v>
      </c>
      <c r="G941" s="22" t="s">
        <v>292</v>
      </c>
      <c r="H941" s="5">
        <v>29892.857142857141</v>
      </c>
      <c r="I941" s="49" t="s">
        <v>681</v>
      </c>
      <c r="J941" s="5" t="s">
        <v>102</v>
      </c>
    </row>
    <row r="942" spans="1:10" ht="30">
      <c r="A942" s="27" t="s">
        <v>2599</v>
      </c>
      <c r="B942" s="22" t="s">
        <v>2600</v>
      </c>
      <c r="C942" s="4" t="s">
        <v>58</v>
      </c>
      <c r="D942" s="22" t="s">
        <v>2600</v>
      </c>
      <c r="E942" s="22" t="s">
        <v>100</v>
      </c>
      <c r="F942" s="22">
        <v>2</v>
      </c>
      <c r="G942" s="22" t="s">
        <v>292</v>
      </c>
      <c r="H942" s="5">
        <v>1785.7142857142856</v>
      </c>
      <c r="I942" s="49" t="s">
        <v>681</v>
      </c>
      <c r="J942" s="5" t="s">
        <v>102</v>
      </c>
    </row>
    <row r="943" spans="1:10" ht="30">
      <c r="A943" s="27" t="s">
        <v>2601</v>
      </c>
      <c r="B943" s="22" t="s">
        <v>2539</v>
      </c>
      <c r="C943" s="4" t="s">
        <v>58</v>
      </c>
      <c r="D943" s="22" t="s">
        <v>2540</v>
      </c>
      <c r="E943" s="22" t="s">
        <v>604</v>
      </c>
      <c r="F943" s="22">
        <v>10</v>
      </c>
      <c r="G943" s="22" t="s">
        <v>292</v>
      </c>
      <c r="H943" s="5">
        <v>26339.28571428571</v>
      </c>
      <c r="I943" s="49" t="s">
        <v>681</v>
      </c>
      <c r="J943" s="5" t="s">
        <v>102</v>
      </c>
    </row>
    <row r="944" spans="1:10" ht="30">
      <c r="A944" s="27" t="s">
        <v>2602</v>
      </c>
      <c r="B944" s="22" t="s">
        <v>2346</v>
      </c>
      <c r="C944" s="4" t="s">
        <v>58</v>
      </c>
      <c r="D944" s="22" t="s">
        <v>2346</v>
      </c>
      <c r="E944" s="22" t="s">
        <v>100</v>
      </c>
      <c r="F944" s="22">
        <v>10</v>
      </c>
      <c r="G944" s="22" t="s">
        <v>292</v>
      </c>
      <c r="H944" s="5">
        <v>6374.9999999999991</v>
      </c>
      <c r="I944" s="49" t="s">
        <v>681</v>
      </c>
      <c r="J944" s="5" t="s">
        <v>102</v>
      </c>
    </row>
    <row r="945" spans="1:10" ht="30">
      <c r="A945" s="27" t="s">
        <v>2603</v>
      </c>
      <c r="B945" s="22" t="s">
        <v>2444</v>
      </c>
      <c r="C945" s="4" t="s">
        <v>58</v>
      </c>
      <c r="D945" s="22" t="s">
        <v>2444</v>
      </c>
      <c r="E945" s="22" t="s">
        <v>100</v>
      </c>
      <c r="F945" s="22">
        <v>100</v>
      </c>
      <c r="G945" s="22" t="s">
        <v>292</v>
      </c>
      <c r="H945" s="5">
        <v>26071.428571428565</v>
      </c>
      <c r="I945" s="49" t="s">
        <v>681</v>
      </c>
      <c r="J945" s="5" t="s">
        <v>102</v>
      </c>
    </row>
    <row r="946" spans="1:10" ht="30">
      <c r="A946" s="27" t="s">
        <v>2604</v>
      </c>
      <c r="B946" s="22" t="s">
        <v>2348</v>
      </c>
      <c r="C946" s="4" t="s">
        <v>58</v>
      </c>
      <c r="D946" s="22" t="s">
        <v>2348</v>
      </c>
      <c r="E946" s="22" t="s">
        <v>100</v>
      </c>
      <c r="F946" s="22">
        <v>50</v>
      </c>
      <c r="G946" s="22" t="s">
        <v>292</v>
      </c>
      <c r="H946" s="5">
        <v>38616.07142857142</v>
      </c>
      <c r="I946" s="49" t="s">
        <v>681</v>
      </c>
      <c r="J946" s="5" t="s">
        <v>102</v>
      </c>
    </row>
    <row r="947" spans="1:10" ht="30">
      <c r="A947" s="27" t="s">
        <v>2605</v>
      </c>
      <c r="B947" s="22" t="s">
        <v>2546</v>
      </c>
      <c r="C947" s="4" t="s">
        <v>58</v>
      </c>
      <c r="D947" s="22" t="s">
        <v>2546</v>
      </c>
      <c r="E947" s="22" t="s">
        <v>100</v>
      </c>
      <c r="F947" s="22">
        <v>2</v>
      </c>
      <c r="G947" s="22" t="s">
        <v>292</v>
      </c>
      <c r="H947" s="5">
        <v>16467.857142857141</v>
      </c>
      <c r="I947" s="49" t="s">
        <v>681</v>
      </c>
      <c r="J947" s="5" t="s">
        <v>102</v>
      </c>
    </row>
    <row r="948" spans="1:10" ht="45">
      <c r="A948" s="27" t="s">
        <v>2606</v>
      </c>
      <c r="B948" s="17" t="s">
        <v>603</v>
      </c>
      <c r="C948" s="4" t="s">
        <v>58</v>
      </c>
      <c r="D948" s="22" t="s">
        <v>2350</v>
      </c>
      <c r="E948" s="22" t="s">
        <v>604</v>
      </c>
      <c r="F948" s="22">
        <v>44</v>
      </c>
      <c r="G948" s="22" t="s">
        <v>251</v>
      </c>
      <c r="H948" s="5">
        <v>53124.999999999993</v>
      </c>
      <c r="I948" s="49" t="s">
        <v>681</v>
      </c>
      <c r="J948" s="5" t="s">
        <v>102</v>
      </c>
    </row>
    <row r="949" spans="1:10" ht="30">
      <c r="A949" s="27" t="s">
        <v>2607</v>
      </c>
      <c r="B949" s="17" t="s">
        <v>2355</v>
      </c>
      <c r="C949" s="4" t="s">
        <v>58</v>
      </c>
      <c r="D949" s="22" t="s">
        <v>2356</v>
      </c>
      <c r="E949" s="22" t="s">
        <v>100</v>
      </c>
      <c r="F949" s="22">
        <v>7</v>
      </c>
      <c r="G949" s="22" t="s">
        <v>251</v>
      </c>
      <c r="H949" s="5">
        <v>5571.4285714285706</v>
      </c>
      <c r="I949" s="49" t="s">
        <v>681</v>
      </c>
      <c r="J949" s="5" t="s">
        <v>102</v>
      </c>
    </row>
    <row r="950" spans="1:10" ht="30">
      <c r="A950" s="27" t="s">
        <v>2608</v>
      </c>
      <c r="B950" s="22" t="s">
        <v>2355</v>
      </c>
      <c r="C950" s="4" t="s">
        <v>58</v>
      </c>
      <c r="D950" s="22" t="s">
        <v>2358</v>
      </c>
      <c r="E950" s="22" t="s">
        <v>100</v>
      </c>
      <c r="F950" s="22">
        <v>10</v>
      </c>
      <c r="G950" s="22" t="s">
        <v>251</v>
      </c>
      <c r="H950" s="5">
        <v>5303.5714285714275</v>
      </c>
      <c r="I950" s="49" t="s">
        <v>681</v>
      </c>
      <c r="J950" s="5" t="s">
        <v>102</v>
      </c>
    </row>
    <row r="951" spans="1:10" ht="30">
      <c r="A951" s="27" t="s">
        <v>2609</v>
      </c>
      <c r="B951" s="22" t="s">
        <v>2362</v>
      </c>
      <c r="C951" s="4" t="s">
        <v>58</v>
      </c>
      <c r="D951" s="22" t="s">
        <v>2363</v>
      </c>
      <c r="E951" s="22" t="s">
        <v>100</v>
      </c>
      <c r="F951" s="22">
        <v>200</v>
      </c>
      <c r="G951" s="22" t="s">
        <v>251</v>
      </c>
      <c r="H951" s="5">
        <v>5357.1428571428569</v>
      </c>
      <c r="I951" s="49" t="s">
        <v>681</v>
      </c>
      <c r="J951" s="5" t="s">
        <v>102</v>
      </c>
    </row>
    <row r="952" spans="1:10" ht="30">
      <c r="A952" s="27" t="s">
        <v>2610</v>
      </c>
      <c r="B952" s="17" t="s">
        <v>2276</v>
      </c>
      <c r="C952" s="4" t="s">
        <v>58</v>
      </c>
      <c r="D952" s="22" t="s">
        <v>2315</v>
      </c>
      <c r="E952" s="22" t="s">
        <v>2316</v>
      </c>
      <c r="F952" s="22">
        <v>2</v>
      </c>
      <c r="G952" s="22" t="s">
        <v>251</v>
      </c>
      <c r="H952" s="5">
        <v>2249.9999999999995</v>
      </c>
      <c r="I952" s="49" t="s">
        <v>681</v>
      </c>
      <c r="J952" s="5" t="s">
        <v>102</v>
      </c>
    </row>
    <row r="953" spans="1:10" ht="30">
      <c r="A953" s="27" t="s">
        <v>2611</v>
      </c>
      <c r="B953" s="22" t="s">
        <v>2180</v>
      </c>
      <c r="C953" s="4" t="s">
        <v>58</v>
      </c>
      <c r="D953" s="22" t="s">
        <v>2318</v>
      </c>
      <c r="E953" s="22" t="s">
        <v>100</v>
      </c>
      <c r="F953" s="22">
        <v>50</v>
      </c>
      <c r="G953" s="22" t="s">
        <v>251</v>
      </c>
      <c r="H953" s="5">
        <v>3348.2142857142853</v>
      </c>
      <c r="I953" s="49" t="s">
        <v>681</v>
      </c>
      <c r="J953" s="5" t="s">
        <v>102</v>
      </c>
    </row>
    <row r="954" spans="1:10" ht="30">
      <c r="A954" s="27" t="s">
        <v>2612</v>
      </c>
      <c r="B954" s="22" t="s">
        <v>2396</v>
      </c>
      <c r="C954" s="4" t="s">
        <v>58</v>
      </c>
      <c r="D954" s="22" t="s">
        <v>2396</v>
      </c>
      <c r="E954" s="22" t="s">
        <v>100</v>
      </c>
      <c r="F954" s="22">
        <v>10</v>
      </c>
      <c r="G954" s="22" t="s">
        <v>251</v>
      </c>
      <c r="H954" s="5">
        <v>910.71428571428567</v>
      </c>
      <c r="I954" s="49" t="s">
        <v>681</v>
      </c>
      <c r="J954" s="5" t="s">
        <v>102</v>
      </c>
    </row>
    <row r="955" spans="1:10" ht="30">
      <c r="A955" s="27" t="s">
        <v>2613</v>
      </c>
      <c r="B955" s="22" t="s">
        <v>2326</v>
      </c>
      <c r="C955" s="4" t="s">
        <v>58</v>
      </c>
      <c r="D955" s="22" t="s">
        <v>2326</v>
      </c>
      <c r="E955" s="22" t="s">
        <v>100</v>
      </c>
      <c r="F955" s="22">
        <v>30</v>
      </c>
      <c r="G955" s="22" t="s">
        <v>251</v>
      </c>
      <c r="H955" s="5">
        <v>385.71428571428567</v>
      </c>
      <c r="I955" s="49" t="s">
        <v>681</v>
      </c>
      <c r="J955" s="5" t="s">
        <v>102</v>
      </c>
    </row>
    <row r="956" spans="1:10" ht="30">
      <c r="A956" s="27" t="s">
        <v>2614</v>
      </c>
      <c r="B956" s="22" t="s">
        <v>2305</v>
      </c>
      <c r="C956" s="4" t="s">
        <v>58</v>
      </c>
      <c r="D956" s="22" t="s">
        <v>2305</v>
      </c>
      <c r="E956" s="22" t="s">
        <v>604</v>
      </c>
      <c r="F956" s="22">
        <v>10</v>
      </c>
      <c r="G956" s="22" t="s">
        <v>251</v>
      </c>
      <c r="H956" s="5">
        <v>1982.1428571428569</v>
      </c>
      <c r="I956" s="49" t="s">
        <v>681</v>
      </c>
      <c r="J956" s="5" t="s">
        <v>102</v>
      </c>
    </row>
    <row r="957" spans="1:10" ht="30">
      <c r="A957" s="27" t="s">
        <v>2615</v>
      </c>
      <c r="B957" s="22" t="s">
        <v>2238</v>
      </c>
      <c r="C957" s="4" t="s">
        <v>58</v>
      </c>
      <c r="D957" s="22" t="s">
        <v>2225</v>
      </c>
      <c r="E957" s="22" t="s">
        <v>604</v>
      </c>
      <c r="F957" s="22">
        <v>10</v>
      </c>
      <c r="G957" s="22" t="s">
        <v>251</v>
      </c>
      <c r="H957" s="5">
        <v>857.14285714285711</v>
      </c>
      <c r="I957" s="49" t="s">
        <v>681</v>
      </c>
      <c r="J957" s="5" t="s">
        <v>102</v>
      </c>
    </row>
    <row r="958" spans="1:10" ht="30">
      <c r="A958" s="27" t="s">
        <v>2616</v>
      </c>
      <c r="B958" s="22" t="s">
        <v>2369</v>
      </c>
      <c r="C958" s="4" t="s">
        <v>58</v>
      </c>
      <c r="D958" s="22" t="s">
        <v>2369</v>
      </c>
      <c r="E958" s="22" t="s">
        <v>604</v>
      </c>
      <c r="F958" s="22">
        <v>10</v>
      </c>
      <c r="G958" s="22" t="s">
        <v>251</v>
      </c>
      <c r="H958" s="5">
        <v>482.14285714285711</v>
      </c>
      <c r="I958" s="49" t="s">
        <v>681</v>
      </c>
      <c r="J958" s="5" t="s">
        <v>102</v>
      </c>
    </row>
    <row r="959" spans="1:10" ht="30">
      <c r="A959" s="27" t="s">
        <v>2617</v>
      </c>
      <c r="B959" s="22" t="s">
        <v>2203</v>
      </c>
      <c r="C959" s="4" t="s">
        <v>58</v>
      </c>
      <c r="D959" s="22" t="s">
        <v>2204</v>
      </c>
      <c r="E959" s="22" t="s">
        <v>100</v>
      </c>
      <c r="F959" s="22">
        <v>10</v>
      </c>
      <c r="G959" s="22" t="s">
        <v>251</v>
      </c>
      <c r="H959" s="5">
        <v>1499.9999999999998</v>
      </c>
      <c r="I959" s="49" t="s">
        <v>681</v>
      </c>
      <c r="J959" s="5" t="s">
        <v>102</v>
      </c>
    </row>
    <row r="960" spans="1:10" ht="30">
      <c r="A960" s="27" t="s">
        <v>2618</v>
      </c>
      <c r="B960" s="22" t="s">
        <v>2335</v>
      </c>
      <c r="C960" s="4" t="s">
        <v>58</v>
      </c>
      <c r="D960" s="22" t="s">
        <v>2336</v>
      </c>
      <c r="E960" s="22" t="s">
        <v>100</v>
      </c>
      <c r="F960" s="22">
        <v>20</v>
      </c>
      <c r="G960" s="22" t="s">
        <v>251</v>
      </c>
      <c r="H960" s="5">
        <v>4732.1428571428569</v>
      </c>
      <c r="I960" s="49" t="s">
        <v>681</v>
      </c>
      <c r="J960" s="5" t="s">
        <v>102</v>
      </c>
    </row>
    <row r="961" spans="1:10" ht="30">
      <c r="A961" s="27" t="s">
        <v>2619</v>
      </c>
      <c r="B961" s="22" t="s">
        <v>395</v>
      </c>
      <c r="C961" s="4" t="s">
        <v>58</v>
      </c>
      <c r="D961" s="22" t="s">
        <v>2372</v>
      </c>
      <c r="E961" s="22" t="s">
        <v>100</v>
      </c>
      <c r="F961" s="22">
        <v>3</v>
      </c>
      <c r="G961" s="22" t="s">
        <v>251</v>
      </c>
      <c r="H961" s="5">
        <v>1269.6428571428569</v>
      </c>
      <c r="I961" s="49" t="s">
        <v>681</v>
      </c>
      <c r="J961" s="5" t="s">
        <v>102</v>
      </c>
    </row>
    <row r="962" spans="1:10" ht="30">
      <c r="A962" s="27" t="s">
        <v>2620</v>
      </c>
      <c r="B962" s="22" t="s">
        <v>395</v>
      </c>
      <c r="C962" s="4" t="s">
        <v>58</v>
      </c>
      <c r="D962" s="22" t="s">
        <v>2374</v>
      </c>
      <c r="E962" s="22" t="s">
        <v>100</v>
      </c>
      <c r="F962" s="22">
        <v>3</v>
      </c>
      <c r="G962" s="22" t="s">
        <v>251</v>
      </c>
      <c r="H962" s="5">
        <v>771.42857142857133</v>
      </c>
      <c r="I962" s="49" t="s">
        <v>681</v>
      </c>
      <c r="J962" s="5" t="s">
        <v>102</v>
      </c>
    </row>
    <row r="963" spans="1:10" ht="30">
      <c r="A963" s="27" t="s">
        <v>2621</v>
      </c>
      <c r="B963" s="22" t="s">
        <v>395</v>
      </c>
      <c r="C963" s="4" t="s">
        <v>58</v>
      </c>
      <c r="D963" s="22" t="s">
        <v>2338</v>
      </c>
      <c r="E963" s="22" t="s">
        <v>100</v>
      </c>
      <c r="F963" s="22">
        <v>3</v>
      </c>
      <c r="G963" s="22" t="s">
        <v>251</v>
      </c>
      <c r="H963" s="5">
        <v>115.17857142857142</v>
      </c>
      <c r="I963" s="49" t="s">
        <v>681</v>
      </c>
      <c r="J963" s="5" t="s">
        <v>102</v>
      </c>
    </row>
    <row r="964" spans="1:10" ht="30">
      <c r="A964" s="27" t="s">
        <v>2622</v>
      </c>
      <c r="B964" s="22" t="s">
        <v>2377</v>
      </c>
      <c r="C964" s="4" t="s">
        <v>58</v>
      </c>
      <c r="D964" s="22" t="s">
        <v>2378</v>
      </c>
      <c r="E964" s="22" t="s">
        <v>100</v>
      </c>
      <c r="F964" s="22">
        <v>10</v>
      </c>
      <c r="G964" s="22" t="s">
        <v>251</v>
      </c>
      <c r="H964" s="5">
        <v>2625</v>
      </c>
      <c r="I964" s="49" t="s">
        <v>681</v>
      </c>
      <c r="J964" s="5" t="s">
        <v>102</v>
      </c>
    </row>
    <row r="965" spans="1:10" ht="30">
      <c r="A965" s="27" t="s">
        <v>2623</v>
      </c>
      <c r="B965" s="22" t="s">
        <v>2480</v>
      </c>
      <c r="C965" s="4" t="s">
        <v>58</v>
      </c>
      <c r="D965" s="22" t="s">
        <v>2480</v>
      </c>
      <c r="E965" s="22" t="s">
        <v>100</v>
      </c>
      <c r="F965" s="22">
        <v>3</v>
      </c>
      <c r="G965" s="22" t="s">
        <v>251</v>
      </c>
      <c r="H965" s="5">
        <v>449.99999999999989</v>
      </c>
      <c r="I965" s="49" t="s">
        <v>681</v>
      </c>
      <c r="J965" s="5" t="s">
        <v>102</v>
      </c>
    </row>
    <row r="966" spans="1:10" ht="30">
      <c r="A966" s="27" t="s">
        <v>2624</v>
      </c>
      <c r="B966" s="22" t="s">
        <v>2340</v>
      </c>
      <c r="C966" s="4" t="s">
        <v>58</v>
      </c>
      <c r="D966" s="22" t="s">
        <v>2341</v>
      </c>
      <c r="E966" s="22" t="s">
        <v>2342</v>
      </c>
      <c r="F966" s="22">
        <v>3</v>
      </c>
      <c r="G966" s="22" t="s">
        <v>251</v>
      </c>
      <c r="H966" s="5">
        <v>674.99999999999989</v>
      </c>
      <c r="I966" s="49" t="s">
        <v>681</v>
      </c>
      <c r="J966" s="5" t="s">
        <v>102</v>
      </c>
    </row>
    <row r="967" spans="1:10" ht="30">
      <c r="A967" s="27" t="s">
        <v>2625</v>
      </c>
      <c r="B967" s="22" t="s">
        <v>2440</v>
      </c>
      <c r="C967" s="4" t="s">
        <v>58</v>
      </c>
      <c r="D967" s="22" t="s">
        <v>2440</v>
      </c>
      <c r="E967" s="22" t="s">
        <v>100</v>
      </c>
      <c r="F967" s="22">
        <v>10</v>
      </c>
      <c r="G967" s="22" t="s">
        <v>251</v>
      </c>
      <c r="H967" s="5">
        <v>5035.7142857142853</v>
      </c>
      <c r="I967" s="49" t="s">
        <v>681</v>
      </c>
      <c r="J967" s="5" t="s">
        <v>102</v>
      </c>
    </row>
    <row r="968" spans="1:10" ht="30">
      <c r="A968" s="27" t="s">
        <v>2626</v>
      </c>
      <c r="B968" s="22" t="s">
        <v>2444</v>
      </c>
      <c r="C968" s="4" t="s">
        <v>58</v>
      </c>
      <c r="D968" s="22" t="s">
        <v>2444</v>
      </c>
      <c r="E968" s="22" t="s">
        <v>100</v>
      </c>
      <c r="F968" s="22">
        <v>15</v>
      </c>
      <c r="G968" s="22" t="s">
        <v>251</v>
      </c>
      <c r="H968" s="5">
        <v>3910.7142857142849</v>
      </c>
      <c r="I968" s="49" t="s">
        <v>681</v>
      </c>
      <c r="J968" s="5" t="s">
        <v>102</v>
      </c>
    </row>
    <row r="969" spans="1:10" ht="45">
      <c r="A969" s="27" t="s">
        <v>2627</v>
      </c>
      <c r="B969" s="17" t="s">
        <v>2310</v>
      </c>
      <c r="C969" s="4" t="s">
        <v>58</v>
      </c>
      <c r="D969" s="22" t="s">
        <v>2350</v>
      </c>
      <c r="E969" s="22" t="s">
        <v>604</v>
      </c>
      <c r="F969" s="22">
        <v>63</v>
      </c>
      <c r="G969" s="22" t="s">
        <v>221</v>
      </c>
      <c r="H969" s="5">
        <v>75892.85714285713</v>
      </c>
      <c r="I969" s="49" t="s">
        <v>681</v>
      </c>
      <c r="J969" s="5" t="s">
        <v>102</v>
      </c>
    </row>
    <row r="970" spans="1:10" ht="30">
      <c r="A970" s="27" t="s">
        <v>2628</v>
      </c>
      <c r="B970" s="22" t="s">
        <v>2352</v>
      </c>
      <c r="C970" s="4" t="s">
        <v>58</v>
      </c>
      <c r="D970" s="22" t="s">
        <v>2353</v>
      </c>
      <c r="E970" s="22" t="s">
        <v>100</v>
      </c>
      <c r="F970" s="22">
        <v>2</v>
      </c>
      <c r="G970" s="22" t="s">
        <v>221</v>
      </c>
      <c r="H970" s="5">
        <v>117.85714285714285</v>
      </c>
      <c r="I970" s="49" t="s">
        <v>681</v>
      </c>
      <c r="J970" s="5" t="s">
        <v>102</v>
      </c>
    </row>
    <row r="971" spans="1:10" ht="30">
      <c r="A971" s="27" t="s">
        <v>2629</v>
      </c>
      <c r="B971" s="22" t="s">
        <v>2458</v>
      </c>
      <c r="C971" s="4" t="s">
        <v>58</v>
      </c>
      <c r="D971" s="22" t="s">
        <v>2459</v>
      </c>
      <c r="E971" s="22" t="s">
        <v>100</v>
      </c>
      <c r="F971" s="22">
        <v>2</v>
      </c>
      <c r="G971" s="22" t="s">
        <v>221</v>
      </c>
      <c r="H971" s="5">
        <v>642.85714285714278</v>
      </c>
      <c r="I971" s="49" t="s">
        <v>681</v>
      </c>
      <c r="J971" s="5" t="s">
        <v>102</v>
      </c>
    </row>
    <row r="972" spans="1:10" ht="30">
      <c r="A972" s="27" t="s">
        <v>2630</v>
      </c>
      <c r="B972" s="22" t="s">
        <v>2461</v>
      </c>
      <c r="C972" s="4" t="s">
        <v>58</v>
      </c>
      <c r="D972" s="22" t="s">
        <v>2462</v>
      </c>
      <c r="E972" s="22" t="s">
        <v>100</v>
      </c>
      <c r="F972" s="22">
        <v>2</v>
      </c>
      <c r="G972" s="22" t="s">
        <v>221</v>
      </c>
      <c r="H972" s="5">
        <v>642.85714285714278</v>
      </c>
      <c r="I972" s="49" t="s">
        <v>681</v>
      </c>
      <c r="J972" s="5" t="s">
        <v>102</v>
      </c>
    </row>
    <row r="973" spans="1:10" ht="30">
      <c r="A973" s="27" t="s">
        <v>2631</v>
      </c>
      <c r="B973" s="22" t="s">
        <v>397</v>
      </c>
      <c r="C973" s="4" t="s">
        <v>58</v>
      </c>
      <c r="D973" s="22" t="s">
        <v>2360</v>
      </c>
      <c r="E973" s="22" t="s">
        <v>100</v>
      </c>
      <c r="F973" s="22">
        <v>8</v>
      </c>
      <c r="G973" s="22" t="s">
        <v>221</v>
      </c>
      <c r="H973" s="5">
        <v>5742.8571428571422</v>
      </c>
      <c r="I973" s="49" t="s">
        <v>681</v>
      </c>
      <c r="J973" s="5" t="s">
        <v>102</v>
      </c>
    </row>
    <row r="974" spans="1:10" ht="30">
      <c r="A974" s="27" t="s">
        <v>2632</v>
      </c>
      <c r="B974" s="22" t="s">
        <v>2362</v>
      </c>
      <c r="C974" s="4" t="s">
        <v>58</v>
      </c>
      <c r="D974" s="22" t="s">
        <v>2363</v>
      </c>
      <c r="E974" s="22" t="s">
        <v>100</v>
      </c>
      <c r="F974" s="22">
        <v>200</v>
      </c>
      <c r="G974" s="22" t="s">
        <v>221</v>
      </c>
      <c r="H974" s="5">
        <v>5357.1428571428569</v>
      </c>
      <c r="I974" s="49" t="s">
        <v>681</v>
      </c>
      <c r="J974" s="5" t="s">
        <v>102</v>
      </c>
    </row>
    <row r="975" spans="1:10" ht="30">
      <c r="A975" s="27" t="s">
        <v>2633</v>
      </c>
      <c r="B975" s="22" t="s">
        <v>2388</v>
      </c>
      <c r="C975" s="4" t="s">
        <v>58</v>
      </c>
      <c r="D975" s="22" t="s">
        <v>2389</v>
      </c>
      <c r="E975" s="22" t="s">
        <v>100</v>
      </c>
      <c r="F975" s="22">
        <v>20</v>
      </c>
      <c r="G975" s="22" t="s">
        <v>221</v>
      </c>
      <c r="H975" s="5">
        <v>257.14285714285711</v>
      </c>
      <c r="I975" s="49" t="s">
        <v>681</v>
      </c>
      <c r="J975" s="5" t="s">
        <v>102</v>
      </c>
    </row>
    <row r="976" spans="1:10" ht="30">
      <c r="A976" s="27" t="s">
        <v>2634</v>
      </c>
      <c r="B976" s="22" t="s">
        <v>2313</v>
      </c>
      <c r="C976" s="4" t="s">
        <v>58</v>
      </c>
      <c r="D976" s="22" t="s">
        <v>2313</v>
      </c>
      <c r="E976" s="22" t="s">
        <v>100</v>
      </c>
      <c r="F976" s="22">
        <v>60</v>
      </c>
      <c r="G976" s="22" t="s">
        <v>221</v>
      </c>
      <c r="H976" s="5">
        <v>2142.8571428571427</v>
      </c>
      <c r="I976" s="49" t="s">
        <v>681</v>
      </c>
      <c r="J976" s="5" t="s">
        <v>102</v>
      </c>
    </row>
    <row r="977" spans="1:10" ht="30">
      <c r="A977" s="27" t="s">
        <v>2635</v>
      </c>
      <c r="B977" s="17" t="s">
        <v>2276</v>
      </c>
      <c r="C977" s="4" t="s">
        <v>58</v>
      </c>
      <c r="D977" s="22" t="s">
        <v>2315</v>
      </c>
      <c r="E977" s="22" t="s">
        <v>2316</v>
      </c>
      <c r="F977" s="22">
        <v>4</v>
      </c>
      <c r="G977" s="22" t="s">
        <v>221</v>
      </c>
      <c r="H977" s="5">
        <v>3749.9999999999995</v>
      </c>
      <c r="I977" s="49" t="s">
        <v>681</v>
      </c>
      <c r="J977" s="5" t="s">
        <v>102</v>
      </c>
    </row>
    <row r="978" spans="1:10" ht="30">
      <c r="A978" s="27" t="s">
        <v>2636</v>
      </c>
      <c r="B978" s="22" t="s">
        <v>2180</v>
      </c>
      <c r="C978" s="4" t="s">
        <v>58</v>
      </c>
      <c r="D978" s="22" t="s">
        <v>2318</v>
      </c>
      <c r="E978" s="22" t="s">
        <v>100</v>
      </c>
      <c r="F978" s="22">
        <v>100</v>
      </c>
      <c r="G978" s="22" t="s">
        <v>221</v>
      </c>
      <c r="H978" s="5">
        <v>6696.4285714285706</v>
      </c>
      <c r="I978" s="49" t="s">
        <v>681</v>
      </c>
      <c r="J978" s="5" t="s">
        <v>102</v>
      </c>
    </row>
    <row r="979" spans="1:10" ht="30">
      <c r="A979" s="27" t="s">
        <v>2637</v>
      </c>
      <c r="B979" s="22" t="s">
        <v>2180</v>
      </c>
      <c r="C979" s="4" t="s">
        <v>58</v>
      </c>
      <c r="D979" s="22" t="s">
        <v>2393</v>
      </c>
      <c r="E979" s="22" t="s">
        <v>100</v>
      </c>
      <c r="F979" s="22">
        <v>30</v>
      </c>
      <c r="G979" s="22" t="s">
        <v>221</v>
      </c>
      <c r="H979" s="5">
        <v>2999.9999999999995</v>
      </c>
      <c r="I979" s="49" t="s">
        <v>681</v>
      </c>
      <c r="J979" s="5" t="s">
        <v>102</v>
      </c>
    </row>
    <row r="980" spans="1:10" ht="30">
      <c r="A980" s="27" t="s">
        <v>2638</v>
      </c>
      <c r="B980" s="22" t="s">
        <v>1253</v>
      </c>
      <c r="C980" s="4" t="s">
        <v>58</v>
      </c>
      <c r="D980" s="22" t="s">
        <v>2320</v>
      </c>
      <c r="E980" s="22" t="s">
        <v>100</v>
      </c>
      <c r="F980" s="22">
        <v>30</v>
      </c>
      <c r="G980" s="22" t="s">
        <v>221</v>
      </c>
      <c r="H980" s="5">
        <v>8196.4285714285706</v>
      </c>
      <c r="I980" s="49" t="s">
        <v>681</v>
      </c>
      <c r="J980" s="5" t="s">
        <v>102</v>
      </c>
    </row>
    <row r="981" spans="1:10" ht="30">
      <c r="A981" s="27" t="s">
        <v>2639</v>
      </c>
      <c r="B981" s="22" t="s">
        <v>2396</v>
      </c>
      <c r="C981" s="4" t="s">
        <v>58</v>
      </c>
      <c r="D981" s="22" t="s">
        <v>2396</v>
      </c>
      <c r="E981" s="22" t="s">
        <v>100</v>
      </c>
      <c r="F981" s="22">
        <v>30</v>
      </c>
      <c r="G981" s="22" t="s">
        <v>221</v>
      </c>
      <c r="H981" s="5">
        <v>2732.1428571428569</v>
      </c>
      <c r="I981" s="49" t="s">
        <v>681</v>
      </c>
      <c r="J981" s="5" t="s">
        <v>102</v>
      </c>
    </row>
    <row r="982" spans="1:10" ht="30">
      <c r="A982" s="27" t="s">
        <v>2640</v>
      </c>
      <c r="B982" s="22" t="s">
        <v>2326</v>
      </c>
      <c r="C982" s="4" t="s">
        <v>58</v>
      </c>
      <c r="D982" s="22" t="s">
        <v>2326</v>
      </c>
      <c r="E982" s="22" t="s">
        <v>100</v>
      </c>
      <c r="F982" s="22">
        <v>50</v>
      </c>
      <c r="G982" s="22" t="s">
        <v>221</v>
      </c>
      <c r="H982" s="5">
        <v>642.85714285714278</v>
      </c>
      <c r="I982" s="49" t="s">
        <v>681</v>
      </c>
      <c r="J982" s="5" t="s">
        <v>102</v>
      </c>
    </row>
    <row r="983" spans="1:10" ht="30">
      <c r="A983" s="27" t="s">
        <v>2641</v>
      </c>
      <c r="B983" s="22" t="s">
        <v>2505</v>
      </c>
      <c r="C983" s="4" t="s">
        <v>58</v>
      </c>
      <c r="D983" s="22" t="s">
        <v>2506</v>
      </c>
      <c r="E983" s="22" t="s">
        <v>100</v>
      </c>
      <c r="F983" s="22">
        <v>10</v>
      </c>
      <c r="G983" s="22" t="s">
        <v>221</v>
      </c>
      <c r="H983" s="5">
        <v>749.99999999999989</v>
      </c>
      <c r="I983" s="49" t="s">
        <v>681</v>
      </c>
      <c r="J983" s="5" t="s">
        <v>102</v>
      </c>
    </row>
    <row r="984" spans="1:10" ht="30">
      <c r="A984" s="27" t="s">
        <v>2642</v>
      </c>
      <c r="B984" s="22" t="s">
        <v>2280</v>
      </c>
      <c r="C984" s="4" t="s">
        <v>58</v>
      </c>
      <c r="D984" s="22" t="s">
        <v>2280</v>
      </c>
      <c r="E984" s="22" t="s">
        <v>100</v>
      </c>
      <c r="F984" s="22">
        <v>5</v>
      </c>
      <c r="G984" s="22" t="s">
        <v>221</v>
      </c>
      <c r="H984" s="5">
        <v>1419.6428571428569</v>
      </c>
      <c r="I984" s="49" t="s">
        <v>681</v>
      </c>
      <c r="J984" s="5" t="s">
        <v>102</v>
      </c>
    </row>
    <row r="985" spans="1:10" ht="30">
      <c r="A985" s="27" t="s">
        <v>2643</v>
      </c>
      <c r="B985" s="22" t="s">
        <v>2401</v>
      </c>
      <c r="C985" s="4" t="s">
        <v>58</v>
      </c>
      <c r="D985" s="22" t="s">
        <v>2401</v>
      </c>
      <c r="E985" s="22" t="s">
        <v>100</v>
      </c>
      <c r="F985" s="22">
        <v>4</v>
      </c>
      <c r="G985" s="22" t="s">
        <v>221</v>
      </c>
      <c r="H985" s="5">
        <v>1157.1428571428571</v>
      </c>
      <c r="I985" s="49" t="s">
        <v>681</v>
      </c>
      <c r="J985" s="5" t="s">
        <v>102</v>
      </c>
    </row>
    <row r="986" spans="1:10" ht="30">
      <c r="A986" s="27" t="s">
        <v>2644</v>
      </c>
      <c r="B986" s="22" t="s">
        <v>2403</v>
      </c>
      <c r="C986" s="4" t="s">
        <v>58</v>
      </c>
      <c r="D986" s="22" t="s">
        <v>2403</v>
      </c>
      <c r="E986" s="22" t="s">
        <v>100</v>
      </c>
      <c r="F986" s="22">
        <v>5</v>
      </c>
      <c r="G986" s="22" t="s">
        <v>221</v>
      </c>
      <c r="H986" s="5">
        <v>883.92857142857133</v>
      </c>
      <c r="I986" s="49" t="s">
        <v>681</v>
      </c>
      <c r="J986" s="5" t="s">
        <v>102</v>
      </c>
    </row>
    <row r="987" spans="1:10" ht="30">
      <c r="A987" s="27" t="s">
        <v>2645</v>
      </c>
      <c r="B987" s="22" t="s">
        <v>2171</v>
      </c>
      <c r="C987" s="4" t="s">
        <v>58</v>
      </c>
      <c r="D987" s="22" t="s">
        <v>2407</v>
      </c>
      <c r="E987" s="22" t="s">
        <v>100</v>
      </c>
      <c r="F987" s="22">
        <v>1</v>
      </c>
      <c r="G987" s="22" t="s">
        <v>221</v>
      </c>
      <c r="H987" s="5">
        <v>3874.9999999999995</v>
      </c>
      <c r="I987" s="49" t="s">
        <v>681</v>
      </c>
      <c r="J987" s="5" t="s">
        <v>102</v>
      </c>
    </row>
    <row r="988" spans="1:10" ht="30">
      <c r="A988" s="27" t="s">
        <v>2646</v>
      </c>
      <c r="B988" s="22" t="s">
        <v>2305</v>
      </c>
      <c r="C988" s="4" t="s">
        <v>58</v>
      </c>
      <c r="D988" s="22" t="s">
        <v>2305</v>
      </c>
      <c r="E988" s="22" t="s">
        <v>604</v>
      </c>
      <c r="F988" s="22">
        <v>10</v>
      </c>
      <c r="G988" s="22" t="s">
        <v>221</v>
      </c>
      <c r="H988" s="5">
        <v>1982.1428571428569</v>
      </c>
      <c r="I988" s="49" t="s">
        <v>681</v>
      </c>
      <c r="J988" s="5" t="s">
        <v>102</v>
      </c>
    </row>
    <row r="989" spans="1:10" ht="30">
      <c r="A989" s="27" t="s">
        <v>2647</v>
      </c>
      <c r="B989" s="22" t="s">
        <v>2203</v>
      </c>
      <c r="C989" s="4" t="s">
        <v>58</v>
      </c>
      <c r="D989" s="22" t="s">
        <v>2204</v>
      </c>
      <c r="E989" s="22" t="s">
        <v>100</v>
      </c>
      <c r="F989" s="22">
        <v>10</v>
      </c>
      <c r="G989" s="22" t="s">
        <v>221</v>
      </c>
      <c r="H989" s="5">
        <v>1499.9999999999998</v>
      </c>
      <c r="I989" s="49" t="s">
        <v>681</v>
      </c>
      <c r="J989" s="5" t="s">
        <v>102</v>
      </c>
    </row>
    <row r="990" spans="1:10" ht="30">
      <c r="A990" s="27" t="s">
        <v>2648</v>
      </c>
      <c r="B990" s="22" t="s">
        <v>2330</v>
      </c>
      <c r="C990" s="4" t="s">
        <v>58</v>
      </c>
      <c r="D990" s="22" t="s">
        <v>2330</v>
      </c>
      <c r="E990" s="22" t="s">
        <v>100</v>
      </c>
      <c r="F990" s="22">
        <v>10</v>
      </c>
      <c r="G990" s="22" t="s">
        <v>221</v>
      </c>
      <c r="H990" s="5">
        <v>535.71428571428567</v>
      </c>
      <c r="I990" s="49" t="s">
        <v>681</v>
      </c>
      <c r="J990" s="5" t="s">
        <v>102</v>
      </c>
    </row>
    <row r="991" spans="1:10" ht="30">
      <c r="A991" s="27" t="s">
        <v>2649</v>
      </c>
      <c r="B991" s="22" t="s">
        <v>2650</v>
      </c>
      <c r="C991" s="4" t="s">
        <v>58</v>
      </c>
      <c r="D991" s="22" t="s">
        <v>2651</v>
      </c>
      <c r="E991" s="22" t="s">
        <v>100</v>
      </c>
      <c r="F991" s="22">
        <v>2</v>
      </c>
      <c r="G991" s="22" t="s">
        <v>221</v>
      </c>
      <c r="H991" s="5">
        <v>848.21428571428567</v>
      </c>
      <c r="I991" s="49" t="s">
        <v>681</v>
      </c>
      <c r="J991" s="5" t="s">
        <v>102</v>
      </c>
    </row>
    <row r="992" spans="1:10" ht="30">
      <c r="A992" s="27" t="s">
        <v>2652</v>
      </c>
      <c r="B992" s="22" t="s">
        <v>2332</v>
      </c>
      <c r="C992" s="4" t="s">
        <v>58</v>
      </c>
      <c r="D992" s="22" t="s">
        <v>2333</v>
      </c>
      <c r="E992" s="22" t="s">
        <v>100</v>
      </c>
      <c r="F992" s="22">
        <v>6</v>
      </c>
      <c r="G992" s="22" t="s">
        <v>221</v>
      </c>
      <c r="H992" s="5">
        <v>514.28571428571422</v>
      </c>
      <c r="I992" s="49" t="s">
        <v>681</v>
      </c>
      <c r="J992" s="5" t="s">
        <v>102</v>
      </c>
    </row>
    <row r="993" spans="1:10" ht="30">
      <c r="A993" s="27" t="s">
        <v>2653</v>
      </c>
      <c r="B993" s="22" t="s">
        <v>2335</v>
      </c>
      <c r="C993" s="4" t="s">
        <v>58</v>
      </c>
      <c r="D993" s="22" t="s">
        <v>2336</v>
      </c>
      <c r="E993" s="22" t="s">
        <v>100</v>
      </c>
      <c r="F993" s="22">
        <v>30</v>
      </c>
      <c r="G993" s="22" t="s">
        <v>221</v>
      </c>
      <c r="H993" s="5">
        <v>7098.2142857142853</v>
      </c>
      <c r="I993" s="49" t="s">
        <v>681</v>
      </c>
      <c r="J993" s="5" t="s">
        <v>102</v>
      </c>
    </row>
    <row r="994" spans="1:10" ht="30">
      <c r="A994" s="27" t="s">
        <v>2654</v>
      </c>
      <c r="B994" s="22" t="s">
        <v>443</v>
      </c>
      <c r="C994" s="4" t="s">
        <v>58</v>
      </c>
      <c r="D994" s="22" t="s">
        <v>2215</v>
      </c>
      <c r="E994" s="22" t="s">
        <v>100</v>
      </c>
      <c r="F994" s="22">
        <v>2</v>
      </c>
      <c r="G994" s="22" t="s">
        <v>221</v>
      </c>
      <c r="H994" s="5">
        <v>289.28571428571428</v>
      </c>
      <c r="I994" s="49" t="s">
        <v>681</v>
      </c>
      <c r="J994" s="5" t="s">
        <v>102</v>
      </c>
    </row>
    <row r="995" spans="1:10" ht="30">
      <c r="A995" s="27" t="s">
        <v>2655</v>
      </c>
      <c r="B995" s="22" t="s">
        <v>2430</v>
      </c>
      <c r="C995" s="4" t="s">
        <v>58</v>
      </c>
      <c r="D995" s="22" t="s">
        <v>2431</v>
      </c>
      <c r="E995" s="22" t="s">
        <v>100</v>
      </c>
      <c r="F995" s="22">
        <v>3</v>
      </c>
      <c r="G995" s="22" t="s">
        <v>221</v>
      </c>
      <c r="H995" s="5">
        <v>996.42857142857133</v>
      </c>
      <c r="I995" s="49" t="s">
        <v>681</v>
      </c>
      <c r="J995" s="5" t="s">
        <v>102</v>
      </c>
    </row>
    <row r="996" spans="1:10" ht="30">
      <c r="A996" s="27" t="s">
        <v>2656</v>
      </c>
      <c r="B996" s="22" t="s">
        <v>395</v>
      </c>
      <c r="C996" s="4" t="s">
        <v>58</v>
      </c>
      <c r="D996" s="22" t="s">
        <v>2372</v>
      </c>
      <c r="E996" s="22" t="s">
        <v>100</v>
      </c>
      <c r="F996" s="22">
        <v>10</v>
      </c>
      <c r="G996" s="22" t="s">
        <v>221</v>
      </c>
      <c r="H996" s="5">
        <v>4232.1428571428569</v>
      </c>
      <c r="I996" s="49" t="s">
        <v>681</v>
      </c>
      <c r="J996" s="5" t="s">
        <v>102</v>
      </c>
    </row>
    <row r="997" spans="1:10" ht="30">
      <c r="A997" s="27" t="s">
        <v>2657</v>
      </c>
      <c r="B997" s="22" t="s">
        <v>395</v>
      </c>
      <c r="C997" s="4" t="s">
        <v>58</v>
      </c>
      <c r="D997" s="22" t="s">
        <v>2374</v>
      </c>
      <c r="E997" s="22" t="s">
        <v>100</v>
      </c>
      <c r="F997" s="22">
        <v>10</v>
      </c>
      <c r="G997" s="22" t="s">
        <v>221</v>
      </c>
      <c r="H997" s="5">
        <v>2571.4285714285711</v>
      </c>
      <c r="I997" s="49" t="s">
        <v>681</v>
      </c>
      <c r="J997" s="5" t="s">
        <v>102</v>
      </c>
    </row>
    <row r="998" spans="1:10" ht="30">
      <c r="A998" s="27" t="s">
        <v>2658</v>
      </c>
      <c r="B998" s="22" t="s">
        <v>395</v>
      </c>
      <c r="C998" s="4" t="s">
        <v>58</v>
      </c>
      <c r="D998" s="22" t="s">
        <v>2338</v>
      </c>
      <c r="E998" s="22" t="s">
        <v>100</v>
      </c>
      <c r="F998" s="22">
        <v>10</v>
      </c>
      <c r="G998" s="22" t="s">
        <v>221</v>
      </c>
      <c r="H998" s="5">
        <v>383.92857142857139</v>
      </c>
      <c r="I998" s="49" t="s">
        <v>681</v>
      </c>
      <c r="J998" s="5" t="s">
        <v>102</v>
      </c>
    </row>
    <row r="999" spans="1:10" ht="30">
      <c r="A999" s="27" t="s">
        <v>2659</v>
      </c>
      <c r="B999" s="22" t="s">
        <v>2377</v>
      </c>
      <c r="C999" s="4" t="s">
        <v>58</v>
      </c>
      <c r="D999" s="22" t="s">
        <v>2378</v>
      </c>
      <c r="E999" s="22" t="s">
        <v>100</v>
      </c>
      <c r="F999" s="22">
        <v>10</v>
      </c>
      <c r="G999" s="22" t="s">
        <v>221</v>
      </c>
      <c r="H999" s="5">
        <v>2625</v>
      </c>
      <c r="I999" s="49" t="s">
        <v>681</v>
      </c>
      <c r="J999" s="5" t="s">
        <v>102</v>
      </c>
    </row>
    <row r="1000" spans="1:10" ht="30">
      <c r="A1000" s="27" t="s">
        <v>2660</v>
      </c>
      <c r="B1000" s="22" t="s">
        <v>2437</v>
      </c>
      <c r="C1000" s="4" t="s">
        <v>58</v>
      </c>
      <c r="D1000" s="22" t="s">
        <v>2438</v>
      </c>
      <c r="E1000" s="22" t="s">
        <v>100</v>
      </c>
      <c r="F1000" s="22">
        <v>1</v>
      </c>
      <c r="G1000" s="22" t="s">
        <v>221</v>
      </c>
      <c r="H1000" s="5">
        <v>187.49999999999997</v>
      </c>
      <c r="I1000" s="49" t="s">
        <v>681</v>
      </c>
      <c r="J1000" s="5" t="s">
        <v>102</v>
      </c>
    </row>
    <row r="1001" spans="1:10" ht="30">
      <c r="A1001" s="27" t="s">
        <v>2661</v>
      </c>
      <c r="B1001" s="22" t="s">
        <v>2531</v>
      </c>
      <c r="C1001" s="4" t="s">
        <v>58</v>
      </c>
      <c r="D1001" s="22" t="s">
        <v>2296</v>
      </c>
      <c r="E1001" s="22" t="s">
        <v>100</v>
      </c>
      <c r="F1001" s="22">
        <v>5</v>
      </c>
      <c r="G1001" s="22" t="s">
        <v>221</v>
      </c>
      <c r="H1001" s="5">
        <v>2633.9285714285711</v>
      </c>
      <c r="I1001" s="49" t="s">
        <v>681</v>
      </c>
      <c r="J1001" s="5" t="s">
        <v>102</v>
      </c>
    </row>
    <row r="1002" spans="1:10" ht="30">
      <c r="A1002" s="27" t="s">
        <v>2662</v>
      </c>
      <c r="B1002" s="22" t="s">
        <v>2480</v>
      </c>
      <c r="C1002" s="4" t="s">
        <v>58</v>
      </c>
      <c r="D1002" s="22" t="s">
        <v>2480</v>
      </c>
      <c r="E1002" s="22" t="s">
        <v>100</v>
      </c>
      <c r="F1002" s="22">
        <v>5</v>
      </c>
      <c r="G1002" s="22" t="s">
        <v>221</v>
      </c>
      <c r="H1002" s="5">
        <v>749.99999999999989</v>
      </c>
      <c r="I1002" s="49" t="s">
        <v>681</v>
      </c>
      <c r="J1002" s="5" t="s">
        <v>102</v>
      </c>
    </row>
    <row r="1003" spans="1:10" ht="30">
      <c r="A1003" s="27" t="s">
        <v>2663</v>
      </c>
      <c r="B1003" s="22" t="s">
        <v>2340</v>
      </c>
      <c r="C1003" s="4" t="s">
        <v>58</v>
      </c>
      <c r="D1003" s="22" t="s">
        <v>2341</v>
      </c>
      <c r="E1003" s="22" t="s">
        <v>2342</v>
      </c>
      <c r="F1003" s="22">
        <v>6</v>
      </c>
      <c r="G1003" s="22" t="s">
        <v>221</v>
      </c>
      <c r="H1003" s="5">
        <v>1349.9999999999998</v>
      </c>
      <c r="I1003" s="49" t="s">
        <v>681</v>
      </c>
      <c r="J1003" s="5" t="s">
        <v>102</v>
      </c>
    </row>
    <row r="1004" spans="1:10" ht="30">
      <c r="A1004" s="27" t="s">
        <v>2664</v>
      </c>
      <c r="B1004" s="22" t="s">
        <v>2440</v>
      </c>
      <c r="C1004" s="4" t="s">
        <v>58</v>
      </c>
      <c r="D1004" s="22" t="s">
        <v>2440</v>
      </c>
      <c r="E1004" s="22" t="s">
        <v>100</v>
      </c>
      <c r="F1004" s="22">
        <v>30</v>
      </c>
      <c r="G1004" s="22" t="s">
        <v>221</v>
      </c>
      <c r="H1004" s="5">
        <v>15107.142857142855</v>
      </c>
      <c r="I1004" s="49" t="s">
        <v>681</v>
      </c>
      <c r="J1004" s="5" t="s">
        <v>102</v>
      </c>
    </row>
    <row r="1005" spans="1:10" ht="30">
      <c r="A1005" s="27" t="s">
        <v>2665</v>
      </c>
      <c r="B1005" s="22" t="s">
        <v>2381</v>
      </c>
      <c r="C1005" s="4" t="s">
        <v>58</v>
      </c>
      <c r="D1005" s="22" t="s">
        <v>2381</v>
      </c>
      <c r="E1005" s="22" t="s">
        <v>100</v>
      </c>
      <c r="F1005" s="22">
        <v>10</v>
      </c>
      <c r="G1005" s="22" t="s">
        <v>221</v>
      </c>
      <c r="H1005" s="5">
        <v>14946.428571428571</v>
      </c>
      <c r="I1005" s="49" t="s">
        <v>681</v>
      </c>
      <c r="J1005" s="5" t="s">
        <v>102</v>
      </c>
    </row>
    <row r="1006" spans="1:10" ht="30">
      <c r="A1006" s="27" t="s">
        <v>2666</v>
      </c>
      <c r="B1006" s="22" t="s">
        <v>2346</v>
      </c>
      <c r="C1006" s="4" t="s">
        <v>58</v>
      </c>
      <c r="D1006" s="22" t="s">
        <v>2346</v>
      </c>
      <c r="E1006" s="22" t="s">
        <v>100</v>
      </c>
      <c r="F1006" s="22">
        <v>12</v>
      </c>
      <c r="G1006" s="22" t="s">
        <v>221</v>
      </c>
      <c r="H1006" s="5">
        <v>7649.9999999999982</v>
      </c>
      <c r="I1006" s="49" t="s">
        <v>681</v>
      </c>
      <c r="J1006" s="5" t="s">
        <v>102</v>
      </c>
    </row>
    <row r="1007" spans="1:10" ht="30">
      <c r="A1007" s="27" t="s">
        <v>2667</v>
      </c>
      <c r="B1007" s="22" t="s">
        <v>2444</v>
      </c>
      <c r="C1007" s="4" t="s">
        <v>58</v>
      </c>
      <c r="D1007" s="22" t="s">
        <v>2444</v>
      </c>
      <c r="E1007" s="22" t="s">
        <v>100</v>
      </c>
      <c r="F1007" s="22">
        <v>40</v>
      </c>
      <c r="G1007" s="22" t="s">
        <v>221</v>
      </c>
      <c r="H1007" s="5">
        <v>10428.571428571428</v>
      </c>
      <c r="I1007" s="49" t="s">
        <v>681</v>
      </c>
      <c r="J1007" s="5" t="s">
        <v>102</v>
      </c>
    </row>
    <row r="1008" spans="1:10" ht="30">
      <c r="A1008" s="27" t="s">
        <v>2668</v>
      </c>
      <c r="B1008" s="22" t="s">
        <v>2546</v>
      </c>
      <c r="C1008" s="4" t="s">
        <v>58</v>
      </c>
      <c r="D1008" s="22" t="s">
        <v>2546</v>
      </c>
      <c r="E1008" s="22" t="s">
        <v>100</v>
      </c>
      <c r="F1008" s="22">
        <v>1</v>
      </c>
      <c r="G1008" s="22" t="s">
        <v>221</v>
      </c>
      <c r="H1008" s="5">
        <v>8233.9285714285706</v>
      </c>
      <c r="I1008" s="49" t="s">
        <v>681</v>
      </c>
      <c r="J1008" s="5" t="s">
        <v>102</v>
      </c>
    </row>
    <row r="1009" spans="1:10" ht="30">
      <c r="A1009" s="27" t="s">
        <v>2669</v>
      </c>
      <c r="B1009" s="22" t="s">
        <v>2670</v>
      </c>
      <c r="C1009" s="4" t="s">
        <v>58</v>
      </c>
      <c r="D1009" s="22" t="s">
        <v>2671</v>
      </c>
      <c r="E1009" s="22" t="s">
        <v>100</v>
      </c>
      <c r="F1009" s="22">
        <v>10</v>
      </c>
      <c r="G1009" s="22" t="s">
        <v>221</v>
      </c>
      <c r="H1009" s="5">
        <v>3080.3571428571427</v>
      </c>
      <c r="I1009" s="49" t="s">
        <v>681</v>
      </c>
      <c r="J1009" s="5" t="s">
        <v>102</v>
      </c>
    </row>
    <row r="1010" spans="1:10" ht="30">
      <c r="A1010" s="27" t="s">
        <v>2672</v>
      </c>
      <c r="B1010" s="22" t="s">
        <v>2673</v>
      </c>
      <c r="C1010" s="4" t="s">
        <v>58</v>
      </c>
      <c r="D1010" s="22" t="s">
        <v>2674</v>
      </c>
      <c r="E1010" s="22" t="s">
        <v>100</v>
      </c>
      <c r="F1010" s="22">
        <v>20</v>
      </c>
      <c r="G1010" s="22" t="s">
        <v>221</v>
      </c>
      <c r="H1010" s="5">
        <v>2321.4285714285711</v>
      </c>
      <c r="I1010" s="49" t="s">
        <v>681</v>
      </c>
      <c r="J1010" s="5" t="s">
        <v>102</v>
      </c>
    </row>
    <row r="1011" spans="1:10" ht="45">
      <c r="A1011" s="27" t="s">
        <v>2675</v>
      </c>
      <c r="B1011" s="17" t="s">
        <v>603</v>
      </c>
      <c r="C1011" s="4" t="s">
        <v>58</v>
      </c>
      <c r="D1011" s="22" t="s">
        <v>2350</v>
      </c>
      <c r="E1011" s="22" t="s">
        <v>604</v>
      </c>
      <c r="F1011" s="22">
        <v>28</v>
      </c>
      <c r="G1011" s="22" t="s">
        <v>252</v>
      </c>
      <c r="H1011" s="5">
        <v>34151.78571428571</v>
      </c>
      <c r="I1011" s="49" t="s">
        <v>681</v>
      </c>
      <c r="J1011" s="5" t="s">
        <v>102</v>
      </c>
    </row>
    <row r="1012" spans="1:10" ht="30">
      <c r="A1012" s="27" t="s">
        <v>2676</v>
      </c>
      <c r="B1012" s="17" t="s">
        <v>2355</v>
      </c>
      <c r="C1012" s="4" t="s">
        <v>58</v>
      </c>
      <c r="D1012" s="22" t="s">
        <v>2356</v>
      </c>
      <c r="E1012" s="22" t="s">
        <v>100</v>
      </c>
      <c r="F1012" s="22">
        <v>2</v>
      </c>
      <c r="G1012" s="22" t="s">
        <v>252</v>
      </c>
      <c r="H1012" s="5">
        <v>1671.4285714285713</v>
      </c>
      <c r="I1012" s="49" t="s">
        <v>681</v>
      </c>
      <c r="J1012" s="5" t="s">
        <v>102</v>
      </c>
    </row>
    <row r="1013" spans="1:10" ht="30">
      <c r="A1013" s="27" t="s">
        <v>2677</v>
      </c>
      <c r="B1013" s="22" t="s">
        <v>2355</v>
      </c>
      <c r="C1013" s="4" t="s">
        <v>58</v>
      </c>
      <c r="D1013" s="22" t="s">
        <v>2358</v>
      </c>
      <c r="E1013" s="22" t="s">
        <v>100</v>
      </c>
      <c r="F1013" s="22">
        <v>3</v>
      </c>
      <c r="G1013" s="22" t="s">
        <v>252</v>
      </c>
      <c r="H1013" s="5">
        <v>1591.0714285714284</v>
      </c>
      <c r="I1013" s="49" t="s">
        <v>681</v>
      </c>
      <c r="J1013" s="5" t="s">
        <v>102</v>
      </c>
    </row>
    <row r="1014" spans="1:10" ht="30">
      <c r="A1014" s="27" t="s">
        <v>2678</v>
      </c>
      <c r="B1014" s="22" t="s">
        <v>2458</v>
      </c>
      <c r="C1014" s="4" t="s">
        <v>58</v>
      </c>
      <c r="D1014" s="22" t="s">
        <v>2459</v>
      </c>
      <c r="E1014" s="22" t="s">
        <v>100</v>
      </c>
      <c r="F1014" s="22">
        <v>1</v>
      </c>
      <c r="G1014" s="22" t="s">
        <v>252</v>
      </c>
      <c r="H1014" s="5">
        <v>321.42857142857139</v>
      </c>
      <c r="I1014" s="49" t="s">
        <v>681</v>
      </c>
      <c r="J1014" s="5" t="s">
        <v>102</v>
      </c>
    </row>
    <row r="1015" spans="1:10" ht="30">
      <c r="A1015" s="27" t="s">
        <v>2679</v>
      </c>
      <c r="B1015" s="22" t="s">
        <v>2461</v>
      </c>
      <c r="C1015" s="4" t="s">
        <v>58</v>
      </c>
      <c r="D1015" s="22" t="s">
        <v>2462</v>
      </c>
      <c r="E1015" s="22" t="s">
        <v>100</v>
      </c>
      <c r="F1015" s="22">
        <v>1</v>
      </c>
      <c r="G1015" s="22" t="s">
        <v>252</v>
      </c>
      <c r="H1015" s="5">
        <v>321.42857142857139</v>
      </c>
      <c r="I1015" s="49" t="s">
        <v>681</v>
      </c>
      <c r="J1015" s="5" t="s">
        <v>102</v>
      </c>
    </row>
    <row r="1016" spans="1:10" ht="30">
      <c r="A1016" s="27" t="s">
        <v>2680</v>
      </c>
      <c r="B1016" s="22" t="s">
        <v>2362</v>
      </c>
      <c r="C1016" s="4" t="s">
        <v>58</v>
      </c>
      <c r="D1016" s="22" t="s">
        <v>2363</v>
      </c>
      <c r="E1016" s="22" t="s">
        <v>100</v>
      </c>
      <c r="F1016" s="22">
        <v>80</v>
      </c>
      <c r="G1016" s="22" t="s">
        <v>252</v>
      </c>
      <c r="H1016" s="5">
        <v>2142.8571428571427</v>
      </c>
      <c r="I1016" s="49" t="s">
        <v>681</v>
      </c>
      <c r="J1016" s="5" t="s">
        <v>102</v>
      </c>
    </row>
    <row r="1017" spans="1:10" ht="30">
      <c r="A1017" s="27" t="s">
        <v>2681</v>
      </c>
      <c r="B1017" s="22" t="s">
        <v>2388</v>
      </c>
      <c r="C1017" s="4" t="s">
        <v>58</v>
      </c>
      <c r="D1017" s="22" t="s">
        <v>2389</v>
      </c>
      <c r="E1017" s="22" t="s">
        <v>100</v>
      </c>
      <c r="F1017" s="22">
        <v>20</v>
      </c>
      <c r="G1017" s="22" t="s">
        <v>252</v>
      </c>
      <c r="H1017" s="5">
        <v>257.14285714285711</v>
      </c>
      <c r="I1017" s="49" t="s">
        <v>681</v>
      </c>
      <c r="J1017" s="5" t="s">
        <v>102</v>
      </c>
    </row>
    <row r="1018" spans="1:10" ht="30">
      <c r="A1018" s="27" t="s">
        <v>2682</v>
      </c>
      <c r="B1018" s="22" t="s">
        <v>2313</v>
      </c>
      <c r="C1018" s="4" t="s">
        <v>58</v>
      </c>
      <c r="D1018" s="22" t="s">
        <v>2313</v>
      </c>
      <c r="E1018" s="22" t="s">
        <v>100</v>
      </c>
      <c r="F1018" s="22">
        <v>20</v>
      </c>
      <c r="G1018" s="22" t="s">
        <v>252</v>
      </c>
      <c r="H1018" s="5">
        <v>714.28571428571422</v>
      </c>
      <c r="I1018" s="49" t="s">
        <v>681</v>
      </c>
      <c r="J1018" s="5" t="s">
        <v>102</v>
      </c>
    </row>
    <row r="1019" spans="1:10" ht="30">
      <c r="A1019" s="27" t="s">
        <v>2683</v>
      </c>
      <c r="B1019" s="22" t="s">
        <v>2276</v>
      </c>
      <c r="C1019" s="4" t="s">
        <v>58</v>
      </c>
      <c r="D1019" s="22" t="s">
        <v>2684</v>
      </c>
      <c r="E1019" s="22" t="s">
        <v>100</v>
      </c>
      <c r="F1019" s="22">
        <v>20</v>
      </c>
      <c r="G1019" s="22" t="s">
        <v>252</v>
      </c>
      <c r="H1019" s="5">
        <v>2892.8571428571427</v>
      </c>
      <c r="I1019" s="49" t="s">
        <v>681</v>
      </c>
      <c r="J1019" s="5" t="s">
        <v>102</v>
      </c>
    </row>
    <row r="1020" spans="1:10" ht="30">
      <c r="A1020" s="27" t="s">
        <v>2685</v>
      </c>
      <c r="B1020" s="17" t="s">
        <v>2276</v>
      </c>
      <c r="C1020" s="4" t="s">
        <v>58</v>
      </c>
      <c r="D1020" s="22" t="s">
        <v>2315</v>
      </c>
      <c r="E1020" s="22" t="s">
        <v>2316</v>
      </c>
      <c r="F1020" s="22">
        <v>1</v>
      </c>
      <c r="G1020" s="22" t="s">
        <v>252</v>
      </c>
      <c r="H1020" s="5">
        <v>1499.9999999999998</v>
      </c>
      <c r="I1020" s="49" t="s">
        <v>681</v>
      </c>
      <c r="J1020" s="5" t="s">
        <v>102</v>
      </c>
    </row>
    <row r="1021" spans="1:10" ht="30">
      <c r="A1021" s="27" t="s">
        <v>2686</v>
      </c>
      <c r="B1021" s="22" t="s">
        <v>2180</v>
      </c>
      <c r="C1021" s="4" t="s">
        <v>58</v>
      </c>
      <c r="D1021" s="22" t="s">
        <v>2318</v>
      </c>
      <c r="E1021" s="22" t="s">
        <v>100</v>
      </c>
      <c r="F1021" s="22">
        <v>20</v>
      </c>
      <c r="G1021" s="22" t="s">
        <v>252</v>
      </c>
      <c r="H1021" s="5">
        <v>1339.2857142857142</v>
      </c>
      <c r="I1021" s="49" t="s">
        <v>681</v>
      </c>
      <c r="J1021" s="5" t="s">
        <v>102</v>
      </c>
    </row>
    <row r="1022" spans="1:10" ht="30">
      <c r="A1022" s="27" t="s">
        <v>2687</v>
      </c>
      <c r="B1022" s="22" t="s">
        <v>1253</v>
      </c>
      <c r="C1022" s="4" t="s">
        <v>58</v>
      </c>
      <c r="D1022" s="22" t="s">
        <v>2320</v>
      </c>
      <c r="E1022" s="22" t="s">
        <v>100</v>
      </c>
      <c r="F1022" s="22">
        <v>5</v>
      </c>
      <c r="G1022" s="22" t="s">
        <v>252</v>
      </c>
      <c r="H1022" s="5">
        <v>1366.0714285714284</v>
      </c>
      <c r="I1022" s="49" t="s">
        <v>681</v>
      </c>
      <c r="J1022" s="5" t="s">
        <v>102</v>
      </c>
    </row>
    <row r="1023" spans="1:10" ht="30">
      <c r="A1023" s="27" t="s">
        <v>2688</v>
      </c>
      <c r="B1023" s="22" t="s">
        <v>2396</v>
      </c>
      <c r="C1023" s="4" t="s">
        <v>58</v>
      </c>
      <c r="D1023" s="22" t="s">
        <v>2396</v>
      </c>
      <c r="E1023" s="22" t="s">
        <v>100</v>
      </c>
      <c r="F1023" s="22">
        <v>5</v>
      </c>
      <c r="G1023" s="22" t="s">
        <v>252</v>
      </c>
      <c r="H1023" s="5">
        <v>455.35714285714283</v>
      </c>
      <c r="I1023" s="49" t="s">
        <v>681</v>
      </c>
      <c r="J1023" s="5" t="s">
        <v>102</v>
      </c>
    </row>
    <row r="1024" spans="1:10" ht="30">
      <c r="A1024" s="27" t="s">
        <v>2689</v>
      </c>
      <c r="B1024" s="22" t="s">
        <v>2326</v>
      </c>
      <c r="C1024" s="4" t="s">
        <v>58</v>
      </c>
      <c r="D1024" s="22" t="s">
        <v>2326</v>
      </c>
      <c r="E1024" s="22" t="s">
        <v>100</v>
      </c>
      <c r="F1024" s="22">
        <v>10</v>
      </c>
      <c r="G1024" s="22" t="s">
        <v>252</v>
      </c>
      <c r="H1024" s="5">
        <v>128.57142857142856</v>
      </c>
      <c r="I1024" s="49" t="s">
        <v>681</v>
      </c>
      <c r="J1024" s="5" t="s">
        <v>102</v>
      </c>
    </row>
    <row r="1025" spans="1:10" ht="30">
      <c r="A1025" s="27" t="s">
        <v>2690</v>
      </c>
      <c r="B1025" s="22" t="s">
        <v>2505</v>
      </c>
      <c r="C1025" s="4" t="s">
        <v>58</v>
      </c>
      <c r="D1025" s="22" t="s">
        <v>2506</v>
      </c>
      <c r="E1025" s="22" t="s">
        <v>100</v>
      </c>
      <c r="F1025" s="22">
        <v>3</v>
      </c>
      <c r="G1025" s="22" t="s">
        <v>252</v>
      </c>
      <c r="H1025" s="5">
        <v>224.99999999999994</v>
      </c>
      <c r="I1025" s="49" t="s">
        <v>681</v>
      </c>
      <c r="J1025" s="5" t="s">
        <v>102</v>
      </c>
    </row>
    <row r="1026" spans="1:10" ht="30">
      <c r="A1026" s="27" t="s">
        <v>2691</v>
      </c>
      <c r="B1026" s="22" t="s">
        <v>2280</v>
      </c>
      <c r="C1026" s="4" t="s">
        <v>58</v>
      </c>
      <c r="D1026" s="22" t="s">
        <v>2280</v>
      </c>
      <c r="E1026" s="22" t="s">
        <v>100</v>
      </c>
      <c r="F1026" s="22">
        <v>2</v>
      </c>
      <c r="G1026" s="22" t="s">
        <v>252</v>
      </c>
      <c r="H1026" s="5">
        <v>567.85714285714278</v>
      </c>
      <c r="I1026" s="49" t="s">
        <v>681</v>
      </c>
      <c r="J1026" s="5" t="s">
        <v>102</v>
      </c>
    </row>
    <row r="1027" spans="1:10" ht="30">
      <c r="A1027" s="27" t="s">
        <v>2692</v>
      </c>
      <c r="B1027" s="22" t="s">
        <v>2401</v>
      </c>
      <c r="C1027" s="4" t="s">
        <v>58</v>
      </c>
      <c r="D1027" s="22" t="s">
        <v>2401</v>
      </c>
      <c r="E1027" s="22" t="s">
        <v>100</v>
      </c>
      <c r="F1027" s="22">
        <v>1</v>
      </c>
      <c r="G1027" s="22" t="s">
        <v>252</v>
      </c>
      <c r="H1027" s="5">
        <v>289.28571428571428</v>
      </c>
      <c r="I1027" s="49" t="s">
        <v>681</v>
      </c>
      <c r="J1027" s="5" t="s">
        <v>102</v>
      </c>
    </row>
    <row r="1028" spans="1:10" ht="30">
      <c r="A1028" s="27" t="s">
        <v>2693</v>
      </c>
      <c r="B1028" s="22" t="s">
        <v>2171</v>
      </c>
      <c r="C1028" s="4" t="s">
        <v>58</v>
      </c>
      <c r="D1028" s="22" t="s">
        <v>2407</v>
      </c>
      <c r="E1028" s="22" t="s">
        <v>100</v>
      </c>
      <c r="F1028" s="22">
        <v>1</v>
      </c>
      <c r="G1028" s="22" t="s">
        <v>252</v>
      </c>
      <c r="H1028" s="5">
        <v>3874.9999999999995</v>
      </c>
      <c r="I1028" s="49" t="s">
        <v>681</v>
      </c>
      <c r="J1028" s="5" t="s">
        <v>102</v>
      </c>
    </row>
    <row r="1029" spans="1:10" ht="30">
      <c r="A1029" s="27" t="s">
        <v>2694</v>
      </c>
      <c r="B1029" s="22" t="s">
        <v>2305</v>
      </c>
      <c r="C1029" s="4" t="s">
        <v>58</v>
      </c>
      <c r="D1029" s="22" t="s">
        <v>2305</v>
      </c>
      <c r="E1029" s="22" t="s">
        <v>604</v>
      </c>
      <c r="F1029" s="22">
        <v>5</v>
      </c>
      <c r="G1029" s="22" t="s">
        <v>252</v>
      </c>
      <c r="H1029" s="5">
        <v>991.07142857142844</v>
      </c>
      <c r="I1029" s="49" t="s">
        <v>681</v>
      </c>
      <c r="J1029" s="5" t="s">
        <v>102</v>
      </c>
    </row>
    <row r="1030" spans="1:10" ht="30">
      <c r="A1030" s="27" t="s">
        <v>2695</v>
      </c>
      <c r="B1030" s="22" t="s">
        <v>2238</v>
      </c>
      <c r="C1030" s="4" t="s">
        <v>58</v>
      </c>
      <c r="D1030" s="22" t="s">
        <v>2225</v>
      </c>
      <c r="E1030" s="22" t="s">
        <v>604</v>
      </c>
      <c r="F1030" s="22">
        <v>5</v>
      </c>
      <c r="G1030" s="22" t="s">
        <v>252</v>
      </c>
      <c r="H1030" s="5">
        <v>428.57142857142856</v>
      </c>
      <c r="I1030" s="49" t="s">
        <v>681</v>
      </c>
      <c r="J1030" s="5" t="s">
        <v>102</v>
      </c>
    </row>
    <row r="1031" spans="1:10" ht="30">
      <c r="A1031" s="27" t="s">
        <v>2696</v>
      </c>
      <c r="B1031" s="22" t="s">
        <v>2233</v>
      </c>
      <c r="C1031" s="4" t="s">
        <v>58</v>
      </c>
      <c r="D1031" s="22" t="s">
        <v>2414</v>
      </c>
      <c r="E1031" s="22" t="s">
        <v>100</v>
      </c>
      <c r="F1031" s="22">
        <v>2</v>
      </c>
      <c r="G1031" s="22" t="s">
        <v>252</v>
      </c>
      <c r="H1031" s="5">
        <v>1467.8571428571427</v>
      </c>
      <c r="I1031" s="49" t="s">
        <v>681</v>
      </c>
      <c r="J1031" s="5" t="s">
        <v>102</v>
      </c>
    </row>
    <row r="1032" spans="1:10" ht="30">
      <c r="A1032" s="27" t="s">
        <v>2697</v>
      </c>
      <c r="B1032" s="22" t="s">
        <v>2417</v>
      </c>
      <c r="C1032" s="4" t="s">
        <v>58</v>
      </c>
      <c r="D1032" s="22" t="s">
        <v>2418</v>
      </c>
      <c r="E1032" s="22" t="s">
        <v>604</v>
      </c>
      <c r="F1032" s="22">
        <v>5</v>
      </c>
      <c r="G1032" s="22" t="s">
        <v>252</v>
      </c>
      <c r="H1032" s="5">
        <v>749.99999999999989</v>
      </c>
      <c r="I1032" s="49" t="s">
        <v>681</v>
      </c>
      <c r="J1032" s="5" t="s">
        <v>102</v>
      </c>
    </row>
    <row r="1033" spans="1:10" ht="30">
      <c r="A1033" s="27" t="s">
        <v>2698</v>
      </c>
      <c r="B1033" s="22" t="s">
        <v>2417</v>
      </c>
      <c r="C1033" s="4" t="s">
        <v>58</v>
      </c>
      <c r="D1033" s="22" t="s">
        <v>2420</v>
      </c>
      <c r="E1033" s="22" t="s">
        <v>604</v>
      </c>
      <c r="F1033" s="22">
        <v>5</v>
      </c>
      <c r="G1033" s="22" t="s">
        <v>252</v>
      </c>
      <c r="H1033" s="5">
        <v>1928.5714285714284</v>
      </c>
      <c r="I1033" s="49" t="s">
        <v>681</v>
      </c>
      <c r="J1033" s="5" t="s">
        <v>102</v>
      </c>
    </row>
    <row r="1034" spans="1:10" ht="30">
      <c r="A1034" s="27" t="s">
        <v>2699</v>
      </c>
      <c r="B1034" s="22" t="s">
        <v>2203</v>
      </c>
      <c r="C1034" s="4" t="s">
        <v>58</v>
      </c>
      <c r="D1034" s="22" t="s">
        <v>2204</v>
      </c>
      <c r="E1034" s="22" t="s">
        <v>100</v>
      </c>
      <c r="F1034" s="22">
        <v>3</v>
      </c>
      <c r="G1034" s="22" t="s">
        <v>252</v>
      </c>
      <c r="H1034" s="5">
        <v>449.99999999999989</v>
      </c>
      <c r="I1034" s="49" t="s">
        <v>681</v>
      </c>
      <c r="J1034" s="5" t="s">
        <v>102</v>
      </c>
    </row>
    <row r="1035" spans="1:10" ht="30">
      <c r="A1035" s="27" t="s">
        <v>2700</v>
      </c>
      <c r="B1035" s="22" t="s">
        <v>2332</v>
      </c>
      <c r="C1035" s="4" t="s">
        <v>58</v>
      </c>
      <c r="D1035" s="22" t="s">
        <v>2333</v>
      </c>
      <c r="E1035" s="22" t="s">
        <v>100</v>
      </c>
      <c r="F1035" s="22">
        <v>5</v>
      </c>
      <c r="G1035" s="22" t="s">
        <v>252</v>
      </c>
      <c r="H1035" s="5">
        <v>428.57142857142856</v>
      </c>
      <c r="I1035" s="49" t="s">
        <v>681</v>
      </c>
      <c r="J1035" s="5" t="s">
        <v>102</v>
      </c>
    </row>
    <row r="1036" spans="1:10" ht="30">
      <c r="A1036" s="27" t="s">
        <v>2701</v>
      </c>
      <c r="B1036" s="22" t="s">
        <v>2427</v>
      </c>
      <c r="C1036" s="4" t="s">
        <v>58</v>
      </c>
      <c r="D1036" s="22" t="s">
        <v>2427</v>
      </c>
      <c r="E1036" s="22" t="s">
        <v>100</v>
      </c>
      <c r="F1036" s="22">
        <v>1</v>
      </c>
      <c r="G1036" s="22" t="s">
        <v>252</v>
      </c>
      <c r="H1036" s="5">
        <v>1874.9999999999998</v>
      </c>
      <c r="I1036" s="49" t="s">
        <v>681</v>
      </c>
      <c r="J1036" s="5" t="s">
        <v>102</v>
      </c>
    </row>
    <row r="1037" spans="1:10" ht="30">
      <c r="A1037" s="27" t="s">
        <v>2702</v>
      </c>
      <c r="B1037" s="22" t="s">
        <v>2430</v>
      </c>
      <c r="C1037" s="4" t="s">
        <v>58</v>
      </c>
      <c r="D1037" s="22" t="s">
        <v>2431</v>
      </c>
      <c r="E1037" s="22" t="s">
        <v>100</v>
      </c>
      <c r="F1037" s="22">
        <v>3</v>
      </c>
      <c r="G1037" s="22" t="s">
        <v>252</v>
      </c>
      <c r="H1037" s="5">
        <v>996.42857142857133</v>
      </c>
      <c r="I1037" s="49" t="s">
        <v>681</v>
      </c>
      <c r="J1037" s="5" t="s">
        <v>102</v>
      </c>
    </row>
    <row r="1038" spans="1:10" ht="30">
      <c r="A1038" s="27" t="s">
        <v>2703</v>
      </c>
      <c r="B1038" s="22" t="s">
        <v>395</v>
      </c>
      <c r="C1038" s="4" t="s">
        <v>58</v>
      </c>
      <c r="D1038" s="22" t="s">
        <v>2374</v>
      </c>
      <c r="E1038" s="22" t="s">
        <v>100</v>
      </c>
      <c r="F1038" s="22">
        <v>8</v>
      </c>
      <c r="G1038" s="22" t="s">
        <v>252</v>
      </c>
      <c r="H1038" s="5">
        <v>2057.1428571428569</v>
      </c>
      <c r="I1038" s="49" t="s">
        <v>681</v>
      </c>
      <c r="J1038" s="5" t="s">
        <v>102</v>
      </c>
    </row>
    <row r="1039" spans="1:10" ht="30">
      <c r="A1039" s="27" t="s">
        <v>2704</v>
      </c>
      <c r="B1039" s="22" t="s">
        <v>2340</v>
      </c>
      <c r="C1039" s="4" t="s">
        <v>58</v>
      </c>
      <c r="D1039" s="22" t="s">
        <v>2341</v>
      </c>
      <c r="E1039" s="22" t="s">
        <v>2342</v>
      </c>
      <c r="F1039" s="22">
        <v>3</v>
      </c>
      <c r="G1039" s="22" t="s">
        <v>252</v>
      </c>
      <c r="H1039" s="5">
        <v>674.99999999999989</v>
      </c>
      <c r="I1039" s="49" t="s">
        <v>681</v>
      </c>
      <c r="J1039" s="5" t="s">
        <v>102</v>
      </c>
    </row>
    <row r="1040" spans="1:10" ht="30">
      <c r="A1040" s="27" t="s">
        <v>2705</v>
      </c>
      <c r="B1040" s="22" t="s">
        <v>2440</v>
      </c>
      <c r="C1040" s="4" t="s">
        <v>58</v>
      </c>
      <c r="D1040" s="22" t="s">
        <v>2440</v>
      </c>
      <c r="E1040" s="22" t="s">
        <v>100</v>
      </c>
      <c r="F1040" s="22">
        <v>4</v>
      </c>
      <c r="G1040" s="22" t="s">
        <v>252</v>
      </c>
      <c r="H1040" s="5">
        <v>2014.285714285714</v>
      </c>
      <c r="I1040" s="49" t="s">
        <v>681</v>
      </c>
      <c r="J1040" s="5" t="s">
        <v>102</v>
      </c>
    </row>
    <row r="1041" spans="1:10" ht="30">
      <c r="A1041" s="27" t="s">
        <v>2706</v>
      </c>
      <c r="B1041" s="22" t="s">
        <v>2381</v>
      </c>
      <c r="C1041" s="4" t="s">
        <v>58</v>
      </c>
      <c r="D1041" s="22" t="s">
        <v>2381</v>
      </c>
      <c r="E1041" s="22" t="s">
        <v>100</v>
      </c>
      <c r="F1041" s="22">
        <v>4</v>
      </c>
      <c r="G1041" s="22" t="s">
        <v>252</v>
      </c>
      <c r="H1041" s="5">
        <v>5978.5714285714284</v>
      </c>
      <c r="I1041" s="49" t="s">
        <v>681</v>
      </c>
      <c r="J1041" s="5" t="s">
        <v>102</v>
      </c>
    </row>
    <row r="1042" spans="1:10" ht="30">
      <c r="A1042" s="27" t="s">
        <v>2707</v>
      </c>
      <c r="B1042" s="22" t="s">
        <v>2444</v>
      </c>
      <c r="C1042" s="4" t="s">
        <v>58</v>
      </c>
      <c r="D1042" s="22" t="s">
        <v>2444</v>
      </c>
      <c r="E1042" s="22" t="s">
        <v>100</v>
      </c>
      <c r="F1042" s="22">
        <v>10</v>
      </c>
      <c r="G1042" s="22" t="s">
        <v>252</v>
      </c>
      <c r="H1042" s="5">
        <v>2607.1428571428569</v>
      </c>
      <c r="I1042" s="49" t="s">
        <v>681</v>
      </c>
      <c r="J1042" s="5" t="s">
        <v>102</v>
      </c>
    </row>
    <row r="1043" spans="1:10" ht="30">
      <c r="A1043" s="27" t="s">
        <v>2708</v>
      </c>
      <c r="B1043" s="22" t="s">
        <v>2546</v>
      </c>
      <c r="C1043" s="4" t="s">
        <v>58</v>
      </c>
      <c r="D1043" s="22" t="s">
        <v>2546</v>
      </c>
      <c r="E1043" s="22" t="s">
        <v>100</v>
      </c>
      <c r="F1043" s="22">
        <v>1</v>
      </c>
      <c r="G1043" s="22" t="s">
        <v>252</v>
      </c>
      <c r="H1043" s="5">
        <v>8233.9285714285706</v>
      </c>
      <c r="I1043" s="49" t="s">
        <v>681</v>
      </c>
      <c r="J1043" s="5" t="s">
        <v>102</v>
      </c>
    </row>
    <row r="1044" spans="1:10" ht="60">
      <c r="A1044" s="27" t="s">
        <v>2709</v>
      </c>
      <c r="B1044" s="17" t="s">
        <v>603</v>
      </c>
      <c r="C1044" s="4" t="s">
        <v>58</v>
      </c>
      <c r="D1044" s="22" t="s">
        <v>2350</v>
      </c>
      <c r="E1044" s="22" t="s">
        <v>604</v>
      </c>
      <c r="F1044" s="22">
        <v>76</v>
      </c>
      <c r="G1044" s="22" t="s">
        <v>2710</v>
      </c>
      <c r="H1044" s="5">
        <v>91071.428571428565</v>
      </c>
      <c r="I1044" s="49" t="s">
        <v>681</v>
      </c>
      <c r="J1044" s="5" t="s">
        <v>102</v>
      </c>
    </row>
    <row r="1045" spans="1:10" ht="60">
      <c r="A1045" s="27" t="s">
        <v>2711</v>
      </c>
      <c r="B1045" s="22" t="s">
        <v>2352</v>
      </c>
      <c r="C1045" s="4" t="s">
        <v>58</v>
      </c>
      <c r="D1045" s="22" t="s">
        <v>2353</v>
      </c>
      <c r="E1045" s="22" t="s">
        <v>100</v>
      </c>
      <c r="F1045" s="22">
        <v>10</v>
      </c>
      <c r="G1045" s="22" t="s">
        <v>2710</v>
      </c>
      <c r="H1045" s="5">
        <v>589.28571428571422</v>
      </c>
      <c r="I1045" s="49" t="s">
        <v>681</v>
      </c>
      <c r="J1045" s="5" t="s">
        <v>102</v>
      </c>
    </row>
    <row r="1046" spans="1:10" ht="60">
      <c r="A1046" s="27" t="s">
        <v>2712</v>
      </c>
      <c r="B1046" s="17" t="s">
        <v>2355</v>
      </c>
      <c r="C1046" s="4" t="s">
        <v>58</v>
      </c>
      <c r="D1046" s="22" t="s">
        <v>2356</v>
      </c>
      <c r="E1046" s="22" t="s">
        <v>100</v>
      </c>
      <c r="F1046" s="22">
        <v>3</v>
      </c>
      <c r="G1046" s="22" t="s">
        <v>2710</v>
      </c>
      <c r="H1046" s="5">
        <v>2785.7142857142853</v>
      </c>
      <c r="I1046" s="49" t="s">
        <v>681</v>
      </c>
      <c r="J1046" s="5" t="s">
        <v>102</v>
      </c>
    </row>
    <row r="1047" spans="1:10" ht="60">
      <c r="A1047" s="27" t="s">
        <v>2713</v>
      </c>
      <c r="B1047" s="22" t="s">
        <v>2355</v>
      </c>
      <c r="C1047" s="4" t="s">
        <v>58</v>
      </c>
      <c r="D1047" s="22" t="s">
        <v>2358</v>
      </c>
      <c r="E1047" s="22" t="s">
        <v>100</v>
      </c>
      <c r="F1047" s="22">
        <v>5</v>
      </c>
      <c r="G1047" s="22" t="s">
        <v>2710</v>
      </c>
      <c r="H1047" s="5">
        <v>2651.7857142857138</v>
      </c>
      <c r="I1047" s="49" t="s">
        <v>681</v>
      </c>
      <c r="J1047" s="5" t="s">
        <v>102</v>
      </c>
    </row>
    <row r="1048" spans="1:10" ht="60">
      <c r="A1048" s="27" t="s">
        <v>2714</v>
      </c>
      <c r="B1048" s="22" t="s">
        <v>2458</v>
      </c>
      <c r="C1048" s="4" t="s">
        <v>58</v>
      </c>
      <c r="D1048" s="22" t="s">
        <v>2459</v>
      </c>
      <c r="E1048" s="22" t="s">
        <v>100</v>
      </c>
      <c r="F1048" s="22">
        <v>5</v>
      </c>
      <c r="G1048" s="22" t="s">
        <v>2710</v>
      </c>
      <c r="H1048" s="5">
        <v>1607.1428571428569</v>
      </c>
      <c r="I1048" s="49" t="s">
        <v>681</v>
      </c>
      <c r="J1048" s="5" t="s">
        <v>102</v>
      </c>
    </row>
    <row r="1049" spans="1:10" ht="60">
      <c r="A1049" s="27" t="s">
        <v>2715</v>
      </c>
      <c r="B1049" s="22" t="s">
        <v>2461</v>
      </c>
      <c r="C1049" s="4" t="s">
        <v>58</v>
      </c>
      <c r="D1049" s="22" t="s">
        <v>2462</v>
      </c>
      <c r="E1049" s="22" t="s">
        <v>100</v>
      </c>
      <c r="F1049" s="22">
        <v>5</v>
      </c>
      <c r="G1049" s="22" t="s">
        <v>2710</v>
      </c>
      <c r="H1049" s="5">
        <v>1607.1428571428569</v>
      </c>
      <c r="I1049" s="49" t="s">
        <v>681</v>
      </c>
      <c r="J1049" s="5" t="s">
        <v>102</v>
      </c>
    </row>
    <row r="1050" spans="1:10" ht="60">
      <c r="A1050" s="27" t="s">
        <v>2716</v>
      </c>
      <c r="B1050" s="22" t="s">
        <v>397</v>
      </c>
      <c r="C1050" s="4" t="s">
        <v>58</v>
      </c>
      <c r="D1050" s="22" t="s">
        <v>2360</v>
      </c>
      <c r="E1050" s="22" t="s">
        <v>100</v>
      </c>
      <c r="F1050" s="22">
        <v>5</v>
      </c>
      <c r="G1050" s="22" t="s">
        <v>2710</v>
      </c>
      <c r="H1050" s="5">
        <v>3589.2857142857138</v>
      </c>
      <c r="I1050" s="49" t="s">
        <v>681</v>
      </c>
      <c r="J1050" s="5" t="s">
        <v>102</v>
      </c>
    </row>
    <row r="1051" spans="1:10" ht="60">
      <c r="A1051" s="27" t="s">
        <v>2717</v>
      </c>
      <c r="B1051" s="22" t="s">
        <v>2362</v>
      </c>
      <c r="C1051" s="4" t="s">
        <v>58</v>
      </c>
      <c r="D1051" s="22" t="s">
        <v>2489</v>
      </c>
      <c r="E1051" s="22" t="s">
        <v>100</v>
      </c>
      <c r="F1051" s="22">
        <v>100</v>
      </c>
      <c r="G1051" s="22" t="s">
        <v>2710</v>
      </c>
      <c r="H1051" s="5">
        <v>6964.2857142857138</v>
      </c>
      <c r="I1051" s="49" t="s">
        <v>681</v>
      </c>
      <c r="J1051" s="5" t="s">
        <v>102</v>
      </c>
    </row>
    <row r="1052" spans="1:10" ht="60">
      <c r="A1052" s="27" t="s">
        <v>2718</v>
      </c>
      <c r="B1052" s="22" t="s">
        <v>2362</v>
      </c>
      <c r="C1052" s="4" t="s">
        <v>58</v>
      </c>
      <c r="D1052" s="22" t="s">
        <v>2363</v>
      </c>
      <c r="E1052" s="22" t="s">
        <v>100</v>
      </c>
      <c r="F1052" s="22">
        <v>100</v>
      </c>
      <c r="G1052" s="22" t="s">
        <v>2710</v>
      </c>
      <c r="H1052" s="5">
        <v>2678.5714285714284</v>
      </c>
      <c r="I1052" s="49" t="s">
        <v>681</v>
      </c>
      <c r="J1052" s="5" t="s">
        <v>102</v>
      </c>
    </row>
    <row r="1053" spans="1:10" ht="60">
      <c r="A1053" s="27" t="s">
        <v>2719</v>
      </c>
      <c r="B1053" s="22" t="s">
        <v>2388</v>
      </c>
      <c r="C1053" s="4" t="s">
        <v>58</v>
      </c>
      <c r="D1053" s="22" t="s">
        <v>2389</v>
      </c>
      <c r="E1053" s="22" t="s">
        <v>100</v>
      </c>
      <c r="F1053" s="22">
        <v>50</v>
      </c>
      <c r="G1053" s="22" t="s">
        <v>2710</v>
      </c>
      <c r="H1053" s="5">
        <v>642.85714285714278</v>
      </c>
      <c r="I1053" s="49" t="s">
        <v>681</v>
      </c>
      <c r="J1053" s="5" t="s">
        <v>102</v>
      </c>
    </row>
    <row r="1054" spans="1:10" ht="60">
      <c r="A1054" s="27" t="s">
        <v>2720</v>
      </c>
      <c r="B1054" s="17" t="s">
        <v>2212</v>
      </c>
      <c r="C1054" s="4" t="s">
        <v>58</v>
      </c>
      <c r="D1054" s="22" t="s">
        <v>2213</v>
      </c>
      <c r="E1054" s="22" t="s">
        <v>100</v>
      </c>
      <c r="F1054" s="22">
        <v>4</v>
      </c>
      <c r="G1054" s="22" t="s">
        <v>2710</v>
      </c>
      <c r="H1054" s="5">
        <v>3369.6428571428569</v>
      </c>
      <c r="I1054" s="49" t="s">
        <v>681</v>
      </c>
      <c r="J1054" s="5" t="s">
        <v>102</v>
      </c>
    </row>
    <row r="1055" spans="1:10" ht="60">
      <c r="A1055" s="27" t="s">
        <v>2721</v>
      </c>
      <c r="B1055" s="17" t="s">
        <v>2212</v>
      </c>
      <c r="C1055" s="4" t="s">
        <v>58</v>
      </c>
      <c r="D1055" s="22" t="s">
        <v>2494</v>
      </c>
      <c r="E1055" s="22" t="s">
        <v>100</v>
      </c>
      <c r="F1055" s="22">
        <v>4</v>
      </c>
      <c r="G1055" s="22" t="s">
        <v>2710</v>
      </c>
      <c r="H1055" s="5">
        <v>3723.2142857142853</v>
      </c>
      <c r="I1055" s="49" t="s">
        <v>681</v>
      </c>
      <c r="J1055" s="5" t="s">
        <v>102</v>
      </c>
    </row>
    <row r="1056" spans="1:10" ht="60">
      <c r="A1056" s="27" t="s">
        <v>2722</v>
      </c>
      <c r="B1056" s="22" t="s">
        <v>2313</v>
      </c>
      <c r="C1056" s="4" t="s">
        <v>58</v>
      </c>
      <c r="D1056" s="22" t="s">
        <v>2313</v>
      </c>
      <c r="E1056" s="22" t="s">
        <v>100</v>
      </c>
      <c r="F1056" s="22">
        <v>50</v>
      </c>
      <c r="G1056" s="22" t="s">
        <v>2710</v>
      </c>
      <c r="H1056" s="5">
        <v>1785.7142857142853</v>
      </c>
      <c r="I1056" s="49" t="s">
        <v>681</v>
      </c>
      <c r="J1056" s="5" t="s">
        <v>102</v>
      </c>
    </row>
    <row r="1057" spans="1:10" ht="60">
      <c r="A1057" s="27" t="s">
        <v>2723</v>
      </c>
      <c r="B1057" s="22" t="s">
        <v>2276</v>
      </c>
      <c r="C1057" s="4" t="s">
        <v>58</v>
      </c>
      <c r="D1057" s="22" t="s">
        <v>2684</v>
      </c>
      <c r="E1057" s="22" t="s">
        <v>100</v>
      </c>
      <c r="F1057" s="22">
        <v>25</v>
      </c>
      <c r="G1057" s="22" t="s">
        <v>2710</v>
      </c>
      <c r="H1057" s="5">
        <v>3616.0714285714284</v>
      </c>
      <c r="I1057" s="49" t="s">
        <v>681</v>
      </c>
      <c r="J1057" s="5" t="s">
        <v>102</v>
      </c>
    </row>
    <row r="1058" spans="1:10" ht="60">
      <c r="A1058" s="27" t="s">
        <v>2724</v>
      </c>
      <c r="B1058" s="17" t="s">
        <v>2276</v>
      </c>
      <c r="C1058" s="4" t="s">
        <v>58</v>
      </c>
      <c r="D1058" s="22" t="s">
        <v>2315</v>
      </c>
      <c r="E1058" s="22" t="s">
        <v>2316</v>
      </c>
      <c r="F1058" s="22">
        <v>4</v>
      </c>
      <c r="G1058" s="22" t="s">
        <v>2710</v>
      </c>
      <c r="H1058" s="5">
        <v>3749.9999999999995</v>
      </c>
      <c r="I1058" s="49" t="s">
        <v>681</v>
      </c>
      <c r="J1058" s="5" t="s">
        <v>102</v>
      </c>
    </row>
    <row r="1059" spans="1:10" ht="60">
      <c r="A1059" s="27" t="s">
        <v>2725</v>
      </c>
      <c r="B1059" s="22" t="s">
        <v>2180</v>
      </c>
      <c r="C1059" s="4" t="s">
        <v>58</v>
      </c>
      <c r="D1059" s="22" t="s">
        <v>2318</v>
      </c>
      <c r="E1059" s="22" t="s">
        <v>100</v>
      </c>
      <c r="F1059" s="22">
        <v>80</v>
      </c>
      <c r="G1059" s="22" t="s">
        <v>2710</v>
      </c>
      <c r="H1059" s="5">
        <v>5357.1428571428569</v>
      </c>
      <c r="I1059" s="49" t="s">
        <v>681</v>
      </c>
      <c r="J1059" s="5" t="s">
        <v>102</v>
      </c>
    </row>
    <row r="1060" spans="1:10" ht="60">
      <c r="A1060" s="27" t="s">
        <v>2726</v>
      </c>
      <c r="B1060" s="22" t="s">
        <v>2180</v>
      </c>
      <c r="C1060" s="4" t="s">
        <v>58</v>
      </c>
      <c r="D1060" s="22" t="s">
        <v>2393</v>
      </c>
      <c r="E1060" s="22" t="s">
        <v>100</v>
      </c>
      <c r="F1060" s="22">
        <v>75</v>
      </c>
      <c r="G1060" s="22" t="s">
        <v>2710</v>
      </c>
      <c r="H1060" s="5">
        <v>7499.9999999999991</v>
      </c>
      <c r="I1060" s="49" t="s">
        <v>681</v>
      </c>
      <c r="J1060" s="5" t="s">
        <v>102</v>
      </c>
    </row>
    <row r="1061" spans="1:10" ht="60">
      <c r="A1061" s="27" t="s">
        <v>2727</v>
      </c>
      <c r="B1061" s="22" t="s">
        <v>1253</v>
      </c>
      <c r="C1061" s="4" t="s">
        <v>58</v>
      </c>
      <c r="D1061" s="22" t="s">
        <v>2320</v>
      </c>
      <c r="E1061" s="22" t="s">
        <v>100</v>
      </c>
      <c r="F1061" s="22">
        <v>25</v>
      </c>
      <c r="G1061" s="22" t="s">
        <v>2710</v>
      </c>
      <c r="H1061" s="5">
        <v>6830.3571428571413</v>
      </c>
      <c r="I1061" s="49" t="s">
        <v>681</v>
      </c>
      <c r="J1061" s="5" t="s">
        <v>102</v>
      </c>
    </row>
    <row r="1062" spans="1:10" ht="60">
      <c r="A1062" s="27" t="s">
        <v>2728</v>
      </c>
      <c r="B1062" s="17" t="s">
        <v>2287</v>
      </c>
      <c r="C1062" s="4" t="s">
        <v>58</v>
      </c>
      <c r="D1062" s="22" t="s">
        <v>2322</v>
      </c>
      <c r="E1062" s="22" t="s">
        <v>100</v>
      </c>
      <c r="F1062" s="22">
        <v>15</v>
      </c>
      <c r="G1062" s="22" t="s">
        <v>2710</v>
      </c>
      <c r="H1062" s="5">
        <v>6348.2142857142853</v>
      </c>
      <c r="I1062" s="49" t="s">
        <v>681</v>
      </c>
      <c r="J1062" s="5" t="s">
        <v>102</v>
      </c>
    </row>
    <row r="1063" spans="1:10" ht="60">
      <c r="A1063" s="27" t="s">
        <v>2729</v>
      </c>
      <c r="B1063" s="22" t="s">
        <v>2396</v>
      </c>
      <c r="C1063" s="4" t="s">
        <v>58</v>
      </c>
      <c r="D1063" s="22" t="s">
        <v>2396</v>
      </c>
      <c r="E1063" s="22" t="s">
        <v>100</v>
      </c>
      <c r="F1063" s="22">
        <v>15</v>
      </c>
      <c r="G1063" s="22" t="s">
        <v>2710</v>
      </c>
      <c r="H1063" s="5">
        <v>1366.0714285714284</v>
      </c>
      <c r="I1063" s="49" t="s">
        <v>681</v>
      </c>
      <c r="J1063" s="5" t="s">
        <v>102</v>
      </c>
    </row>
    <row r="1064" spans="1:10" ht="60">
      <c r="A1064" s="27" t="s">
        <v>2730</v>
      </c>
      <c r="B1064" s="22" t="s">
        <v>1253</v>
      </c>
      <c r="C1064" s="4" t="s">
        <v>58</v>
      </c>
      <c r="D1064" s="22" t="s">
        <v>2324</v>
      </c>
      <c r="E1064" s="22" t="s">
        <v>100</v>
      </c>
      <c r="F1064" s="22">
        <v>1</v>
      </c>
      <c r="G1064" s="22" t="s">
        <v>2710</v>
      </c>
      <c r="H1064" s="5">
        <v>1323.2142857142856</v>
      </c>
      <c r="I1064" s="49" t="s">
        <v>681</v>
      </c>
      <c r="J1064" s="5" t="s">
        <v>102</v>
      </c>
    </row>
    <row r="1065" spans="1:10" ht="60">
      <c r="A1065" s="27" t="s">
        <v>2731</v>
      </c>
      <c r="B1065" s="22" t="s">
        <v>2326</v>
      </c>
      <c r="C1065" s="4" t="s">
        <v>58</v>
      </c>
      <c r="D1065" s="22" t="s">
        <v>2326</v>
      </c>
      <c r="E1065" s="22" t="s">
        <v>100</v>
      </c>
      <c r="F1065" s="22">
        <v>50</v>
      </c>
      <c r="G1065" s="22" t="s">
        <v>2710</v>
      </c>
      <c r="H1065" s="5">
        <v>642.85714285714278</v>
      </c>
      <c r="I1065" s="49" t="s">
        <v>681</v>
      </c>
      <c r="J1065" s="5" t="s">
        <v>102</v>
      </c>
    </row>
    <row r="1066" spans="1:10" ht="60">
      <c r="A1066" s="27" t="s">
        <v>2732</v>
      </c>
      <c r="B1066" s="22" t="s">
        <v>2248</v>
      </c>
      <c r="C1066" s="4" t="s">
        <v>58</v>
      </c>
      <c r="D1066" s="22" t="s">
        <v>2248</v>
      </c>
      <c r="E1066" s="22" t="s">
        <v>100</v>
      </c>
      <c r="F1066" s="22">
        <v>20</v>
      </c>
      <c r="G1066" s="22" t="s">
        <v>2710</v>
      </c>
      <c r="H1066" s="5">
        <v>1714.2857142857142</v>
      </c>
      <c r="I1066" s="49" t="s">
        <v>681</v>
      </c>
      <c r="J1066" s="5" t="s">
        <v>102</v>
      </c>
    </row>
    <row r="1067" spans="1:10" ht="60">
      <c r="A1067" s="27" t="s">
        <v>2733</v>
      </c>
      <c r="B1067" s="22" t="s">
        <v>2208</v>
      </c>
      <c r="C1067" s="4" t="s">
        <v>58</v>
      </c>
      <c r="D1067" s="22" t="s">
        <v>2208</v>
      </c>
      <c r="E1067" s="22" t="s">
        <v>100</v>
      </c>
      <c r="F1067" s="22">
        <v>30</v>
      </c>
      <c r="G1067" s="22" t="s">
        <v>2710</v>
      </c>
      <c r="H1067" s="5">
        <v>1285.7142857142856</v>
      </c>
      <c r="I1067" s="49" t="s">
        <v>681</v>
      </c>
      <c r="J1067" s="5" t="s">
        <v>102</v>
      </c>
    </row>
    <row r="1068" spans="1:10" ht="60">
      <c r="A1068" s="27" t="s">
        <v>2734</v>
      </c>
      <c r="B1068" s="22" t="s">
        <v>2505</v>
      </c>
      <c r="C1068" s="4" t="s">
        <v>58</v>
      </c>
      <c r="D1068" s="22" t="s">
        <v>2506</v>
      </c>
      <c r="E1068" s="22" t="s">
        <v>100</v>
      </c>
      <c r="F1068" s="22">
        <v>10</v>
      </c>
      <c r="G1068" s="22" t="s">
        <v>2710</v>
      </c>
      <c r="H1068" s="5">
        <v>749.99999999999989</v>
      </c>
      <c r="I1068" s="49" t="s">
        <v>681</v>
      </c>
      <c r="J1068" s="5" t="s">
        <v>102</v>
      </c>
    </row>
    <row r="1069" spans="1:10" ht="60">
      <c r="A1069" s="27" t="s">
        <v>2735</v>
      </c>
      <c r="B1069" s="22" t="s">
        <v>2280</v>
      </c>
      <c r="C1069" s="4" t="s">
        <v>58</v>
      </c>
      <c r="D1069" s="22" t="s">
        <v>2280</v>
      </c>
      <c r="E1069" s="22" t="s">
        <v>100</v>
      </c>
      <c r="F1069" s="22">
        <v>10</v>
      </c>
      <c r="G1069" s="22" t="s">
        <v>2710</v>
      </c>
      <c r="H1069" s="5">
        <v>2839.2857142857138</v>
      </c>
      <c r="I1069" s="49" t="s">
        <v>681</v>
      </c>
      <c r="J1069" s="5" t="s">
        <v>102</v>
      </c>
    </row>
    <row r="1070" spans="1:10" ht="60">
      <c r="A1070" s="27" t="s">
        <v>2736</v>
      </c>
      <c r="B1070" s="22" t="s">
        <v>2401</v>
      </c>
      <c r="C1070" s="4" t="s">
        <v>58</v>
      </c>
      <c r="D1070" s="22" t="s">
        <v>2401</v>
      </c>
      <c r="E1070" s="22" t="s">
        <v>100</v>
      </c>
      <c r="F1070" s="22">
        <v>5</v>
      </c>
      <c r="G1070" s="22" t="s">
        <v>2710</v>
      </c>
      <c r="H1070" s="5">
        <v>1446.4285714285713</v>
      </c>
      <c r="I1070" s="49" t="s">
        <v>681</v>
      </c>
      <c r="J1070" s="5" t="s">
        <v>102</v>
      </c>
    </row>
    <row r="1071" spans="1:10" ht="60">
      <c r="A1071" s="27" t="s">
        <v>2737</v>
      </c>
      <c r="B1071" s="22" t="s">
        <v>2403</v>
      </c>
      <c r="C1071" s="4" t="s">
        <v>58</v>
      </c>
      <c r="D1071" s="22" t="s">
        <v>2403</v>
      </c>
      <c r="E1071" s="22" t="s">
        <v>100</v>
      </c>
      <c r="F1071" s="22">
        <v>15</v>
      </c>
      <c r="G1071" s="22" t="s">
        <v>2710</v>
      </c>
      <c r="H1071" s="5">
        <v>2651.7857142857142</v>
      </c>
      <c r="I1071" s="49" t="s">
        <v>681</v>
      </c>
      <c r="J1071" s="5" t="s">
        <v>102</v>
      </c>
    </row>
    <row r="1072" spans="1:10" ht="60">
      <c r="A1072" s="27" t="s">
        <v>2738</v>
      </c>
      <c r="B1072" s="22" t="s">
        <v>2405</v>
      </c>
      <c r="C1072" s="4" t="s">
        <v>58</v>
      </c>
      <c r="D1072" s="22" t="s">
        <v>2405</v>
      </c>
      <c r="E1072" s="22" t="s">
        <v>100</v>
      </c>
      <c r="F1072" s="22">
        <v>4</v>
      </c>
      <c r="G1072" s="22" t="s">
        <v>2710</v>
      </c>
      <c r="H1072" s="5">
        <v>1999.9999999999998</v>
      </c>
      <c r="I1072" s="49" t="s">
        <v>681</v>
      </c>
      <c r="J1072" s="5" t="s">
        <v>102</v>
      </c>
    </row>
    <row r="1073" spans="1:10" ht="60">
      <c r="A1073" s="27" t="s">
        <v>2739</v>
      </c>
      <c r="B1073" s="22" t="s">
        <v>2171</v>
      </c>
      <c r="C1073" s="4" t="s">
        <v>58</v>
      </c>
      <c r="D1073" s="22" t="s">
        <v>2407</v>
      </c>
      <c r="E1073" s="22" t="s">
        <v>100</v>
      </c>
      <c r="F1073" s="22">
        <v>1</v>
      </c>
      <c r="G1073" s="22" t="s">
        <v>2710</v>
      </c>
      <c r="H1073" s="5">
        <v>3874.9999999999995</v>
      </c>
      <c r="I1073" s="49" t="s">
        <v>681</v>
      </c>
      <c r="J1073" s="5" t="s">
        <v>102</v>
      </c>
    </row>
    <row r="1074" spans="1:10" ht="60">
      <c r="A1074" s="27" t="s">
        <v>2740</v>
      </c>
      <c r="B1074" s="22" t="s">
        <v>2305</v>
      </c>
      <c r="C1074" s="4" t="s">
        <v>58</v>
      </c>
      <c r="D1074" s="22" t="s">
        <v>2305</v>
      </c>
      <c r="E1074" s="22" t="s">
        <v>604</v>
      </c>
      <c r="F1074" s="22">
        <v>20</v>
      </c>
      <c r="G1074" s="22" t="s">
        <v>2710</v>
      </c>
      <c r="H1074" s="5">
        <v>3964.2857142857138</v>
      </c>
      <c r="I1074" s="49" t="s">
        <v>681</v>
      </c>
      <c r="J1074" s="5" t="s">
        <v>102</v>
      </c>
    </row>
    <row r="1075" spans="1:10" ht="60">
      <c r="A1075" s="27" t="s">
        <v>2741</v>
      </c>
      <c r="B1075" s="22" t="s">
        <v>2238</v>
      </c>
      <c r="C1075" s="4" t="s">
        <v>58</v>
      </c>
      <c r="D1075" s="22" t="s">
        <v>2225</v>
      </c>
      <c r="E1075" s="22" t="s">
        <v>604</v>
      </c>
      <c r="F1075" s="22">
        <v>35</v>
      </c>
      <c r="G1075" s="22" t="s">
        <v>2710</v>
      </c>
      <c r="H1075" s="5">
        <v>3000</v>
      </c>
      <c r="I1075" s="49" t="s">
        <v>681</v>
      </c>
      <c r="J1075" s="5" t="s">
        <v>102</v>
      </c>
    </row>
    <row r="1076" spans="1:10" ht="60">
      <c r="A1076" s="27" t="s">
        <v>2742</v>
      </c>
      <c r="B1076" s="22" t="s">
        <v>2369</v>
      </c>
      <c r="C1076" s="4" t="s">
        <v>58</v>
      </c>
      <c r="D1076" s="22" t="s">
        <v>2369</v>
      </c>
      <c r="E1076" s="22" t="s">
        <v>604</v>
      </c>
      <c r="F1076" s="22">
        <v>40</v>
      </c>
      <c r="G1076" s="22" t="s">
        <v>2710</v>
      </c>
      <c r="H1076" s="5">
        <v>1928.5714285714284</v>
      </c>
      <c r="I1076" s="49" t="s">
        <v>681</v>
      </c>
      <c r="J1076" s="5" t="s">
        <v>102</v>
      </c>
    </row>
    <row r="1077" spans="1:10" ht="60">
      <c r="A1077" s="27" t="s">
        <v>2743</v>
      </c>
      <c r="B1077" s="22" t="s">
        <v>2233</v>
      </c>
      <c r="C1077" s="4" t="s">
        <v>58</v>
      </c>
      <c r="D1077" s="22" t="s">
        <v>2412</v>
      </c>
      <c r="E1077" s="22" t="s">
        <v>100</v>
      </c>
      <c r="F1077" s="22">
        <v>5</v>
      </c>
      <c r="G1077" s="22" t="s">
        <v>2710</v>
      </c>
      <c r="H1077" s="5">
        <v>2571.4285714285711</v>
      </c>
      <c r="I1077" s="49" t="s">
        <v>681</v>
      </c>
      <c r="J1077" s="5" t="s">
        <v>102</v>
      </c>
    </row>
    <row r="1078" spans="1:10" ht="60">
      <c r="A1078" s="27" t="s">
        <v>2744</v>
      </c>
      <c r="B1078" s="22" t="s">
        <v>2233</v>
      </c>
      <c r="C1078" s="4" t="s">
        <v>58</v>
      </c>
      <c r="D1078" s="22" t="s">
        <v>2414</v>
      </c>
      <c r="E1078" s="22" t="s">
        <v>100</v>
      </c>
      <c r="F1078" s="22">
        <v>5</v>
      </c>
      <c r="G1078" s="22" t="s">
        <v>2710</v>
      </c>
      <c r="H1078" s="5">
        <v>3669.6428571428569</v>
      </c>
      <c r="I1078" s="49" t="s">
        <v>681</v>
      </c>
      <c r="J1078" s="5" t="s">
        <v>102</v>
      </c>
    </row>
    <row r="1079" spans="1:10" ht="60">
      <c r="A1079" s="27" t="s">
        <v>2745</v>
      </c>
      <c r="B1079" s="22" t="s">
        <v>2174</v>
      </c>
      <c r="C1079" s="4" t="s">
        <v>58</v>
      </c>
      <c r="D1079" s="22" t="s">
        <v>2174</v>
      </c>
      <c r="E1079" s="22" t="s">
        <v>100</v>
      </c>
      <c r="F1079" s="22">
        <v>15</v>
      </c>
      <c r="G1079" s="22" t="s">
        <v>2710</v>
      </c>
      <c r="H1079" s="5">
        <v>2008.9285714285713</v>
      </c>
      <c r="I1079" s="49" t="s">
        <v>681</v>
      </c>
      <c r="J1079" s="5" t="s">
        <v>102</v>
      </c>
    </row>
    <row r="1080" spans="1:10" ht="60">
      <c r="A1080" s="27" t="s">
        <v>2746</v>
      </c>
      <c r="B1080" s="22" t="s">
        <v>2417</v>
      </c>
      <c r="C1080" s="4" t="s">
        <v>58</v>
      </c>
      <c r="D1080" s="22" t="s">
        <v>2418</v>
      </c>
      <c r="E1080" s="22" t="s">
        <v>604</v>
      </c>
      <c r="F1080" s="22">
        <v>5</v>
      </c>
      <c r="G1080" s="22" t="s">
        <v>2710</v>
      </c>
      <c r="H1080" s="5">
        <v>749.99999999999989</v>
      </c>
      <c r="I1080" s="49" t="s">
        <v>681</v>
      </c>
      <c r="J1080" s="5" t="s">
        <v>102</v>
      </c>
    </row>
    <row r="1081" spans="1:10" ht="60">
      <c r="A1081" s="27" t="s">
        <v>2747</v>
      </c>
      <c r="B1081" s="22" t="s">
        <v>2417</v>
      </c>
      <c r="C1081" s="4" t="s">
        <v>58</v>
      </c>
      <c r="D1081" s="22" t="s">
        <v>2420</v>
      </c>
      <c r="E1081" s="22" t="s">
        <v>604</v>
      </c>
      <c r="F1081" s="22">
        <v>5</v>
      </c>
      <c r="G1081" s="22" t="s">
        <v>2710</v>
      </c>
      <c r="H1081" s="5">
        <v>1928.5714285714284</v>
      </c>
      <c r="I1081" s="49" t="s">
        <v>681</v>
      </c>
      <c r="J1081" s="5" t="s">
        <v>102</v>
      </c>
    </row>
    <row r="1082" spans="1:10" ht="60">
      <c r="A1082" s="27" t="s">
        <v>2748</v>
      </c>
      <c r="B1082" s="22" t="s">
        <v>2417</v>
      </c>
      <c r="C1082" s="4" t="s">
        <v>58</v>
      </c>
      <c r="D1082" s="22" t="s">
        <v>2422</v>
      </c>
      <c r="E1082" s="22" t="s">
        <v>604</v>
      </c>
      <c r="F1082" s="22">
        <v>5</v>
      </c>
      <c r="G1082" s="22" t="s">
        <v>2710</v>
      </c>
      <c r="H1082" s="5">
        <v>3187.4999999999995</v>
      </c>
      <c r="I1082" s="49" t="s">
        <v>681</v>
      </c>
      <c r="J1082" s="5" t="s">
        <v>102</v>
      </c>
    </row>
    <row r="1083" spans="1:10" ht="60">
      <c r="A1083" s="27" t="s">
        <v>2749</v>
      </c>
      <c r="B1083" s="22" t="s">
        <v>2203</v>
      </c>
      <c r="C1083" s="4" t="s">
        <v>58</v>
      </c>
      <c r="D1083" s="22" t="s">
        <v>2204</v>
      </c>
      <c r="E1083" s="22" t="s">
        <v>100</v>
      </c>
      <c r="F1083" s="22">
        <v>25</v>
      </c>
      <c r="G1083" s="22" t="s">
        <v>2710</v>
      </c>
      <c r="H1083" s="5">
        <v>3749.9999999999991</v>
      </c>
      <c r="I1083" s="49" t="s">
        <v>681</v>
      </c>
      <c r="J1083" s="5" t="s">
        <v>102</v>
      </c>
    </row>
    <row r="1084" spans="1:10" ht="60">
      <c r="A1084" s="27" t="s">
        <v>2750</v>
      </c>
      <c r="B1084" s="22" t="s">
        <v>2330</v>
      </c>
      <c r="C1084" s="4" t="s">
        <v>58</v>
      </c>
      <c r="D1084" s="22" t="s">
        <v>2330</v>
      </c>
      <c r="E1084" s="22" t="s">
        <v>100</v>
      </c>
      <c r="F1084" s="22">
        <v>5</v>
      </c>
      <c r="G1084" s="22" t="s">
        <v>2710</v>
      </c>
      <c r="H1084" s="5">
        <v>267.85714285714283</v>
      </c>
      <c r="I1084" s="49" t="s">
        <v>681</v>
      </c>
      <c r="J1084" s="5" t="s">
        <v>102</v>
      </c>
    </row>
    <row r="1085" spans="1:10" ht="60">
      <c r="A1085" s="27" t="s">
        <v>2751</v>
      </c>
      <c r="B1085" s="22" t="s">
        <v>2650</v>
      </c>
      <c r="C1085" s="4" t="s">
        <v>58</v>
      </c>
      <c r="D1085" s="22" t="s">
        <v>2651</v>
      </c>
      <c r="E1085" s="22" t="s">
        <v>100</v>
      </c>
      <c r="F1085" s="22">
        <v>5</v>
      </c>
      <c r="G1085" s="22" t="s">
        <v>2710</v>
      </c>
      <c r="H1085" s="5">
        <v>2120.5357142857142</v>
      </c>
      <c r="I1085" s="49" t="s">
        <v>681</v>
      </c>
      <c r="J1085" s="5" t="s">
        <v>102</v>
      </c>
    </row>
    <row r="1086" spans="1:10" ht="60">
      <c r="A1086" s="27" t="s">
        <v>2752</v>
      </c>
      <c r="B1086" s="22" t="s">
        <v>2332</v>
      </c>
      <c r="C1086" s="4" t="s">
        <v>58</v>
      </c>
      <c r="D1086" s="22" t="s">
        <v>2333</v>
      </c>
      <c r="E1086" s="22" t="s">
        <v>100</v>
      </c>
      <c r="F1086" s="22">
        <v>10</v>
      </c>
      <c r="G1086" s="22" t="s">
        <v>2710</v>
      </c>
      <c r="H1086" s="5">
        <v>857.14285714285711</v>
      </c>
      <c r="I1086" s="49" t="s">
        <v>681</v>
      </c>
      <c r="J1086" s="5" t="s">
        <v>102</v>
      </c>
    </row>
    <row r="1087" spans="1:10" ht="60">
      <c r="A1087" s="27" t="s">
        <v>2753</v>
      </c>
      <c r="B1087" s="22" t="s">
        <v>2335</v>
      </c>
      <c r="C1087" s="4" t="s">
        <v>58</v>
      </c>
      <c r="D1087" s="22" t="s">
        <v>2336</v>
      </c>
      <c r="E1087" s="22" t="s">
        <v>100</v>
      </c>
      <c r="F1087" s="22">
        <v>20</v>
      </c>
      <c r="G1087" s="22" t="s">
        <v>2710</v>
      </c>
      <c r="H1087" s="5">
        <v>4732.1428571428569</v>
      </c>
      <c r="I1087" s="49" t="s">
        <v>681</v>
      </c>
      <c r="J1087" s="5" t="s">
        <v>102</v>
      </c>
    </row>
    <row r="1088" spans="1:10" ht="60">
      <c r="A1088" s="27" t="s">
        <v>2754</v>
      </c>
      <c r="B1088" s="22" t="s">
        <v>2427</v>
      </c>
      <c r="C1088" s="4" t="s">
        <v>58</v>
      </c>
      <c r="D1088" s="22" t="s">
        <v>2427</v>
      </c>
      <c r="E1088" s="22" t="s">
        <v>100</v>
      </c>
      <c r="F1088" s="22">
        <v>1</v>
      </c>
      <c r="G1088" s="22" t="s">
        <v>2710</v>
      </c>
      <c r="H1088" s="5">
        <v>1874.9999999999998</v>
      </c>
      <c r="I1088" s="49" t="s">
        <v>681</v>
      </c>
      <c r="J1088" s="5" t="s">
        <v>102</v>
      </c>
    </row>
    <row r="1089" spans="1:10" ht="60">
      <c r="A1089" s="27" t="s">
        <v>2755</v>
      </c>
      <c r="B1089" s="22" t="s">
        <v>443</v>
      </c>
      <c r="C1089" s="4" t="s">
        <v>58</v>
      </c>
      <c r="D1089" s="22" t="s">
        <v>2215</v>
      </c>
      <c r="E1089" s="22" t="s">
        <v>100</v>
      </c>
      <c r="F1089" s="22">
        <v>20</v>
      </c>
      <c r="G1089" s="22" t="s">
        <v>2710</v>
      </c>
      <c r="H1089" s="5">
        <v>2892.8571428571427</v>
      </c>
      <c r="I1089" s="49" t="s">
        <v>681</v>
      </c>
      <c r="J1089" s="5" t="s">
        <v>102</v>
      </c>
    </row>
    <row r="1090" spans="1:10" ht="60">
      <c r="A1090" s="27" t="s">
        <v>2756</v>
      </c>
      <c r="B1090" s="22" t="s">
        <v>2430</v>
      </c>
      <c r="C1090" s="4" t="s">
        <v>58</v>
      </c>
      <c r="D1090" s="22" t="s">
        <v>2431</v>
      </c>
      <c r="E1090" s="22" t="s">
        <v>100</v>
      </c>
      <c r="F1090" s="22">
        <v>10</v>
      </c>
      <c r="G1090" s="22" t="s">
        <v>2710</v>
      </c>
      <c r="H1090" s="5">
        <v>3321.4285714285711</v>
      </c>
      <c r="I1090" s="49" t="s">
        <v>681</v>
      </c>
      <c r="J1090" s="5" t="s">
        <v>102</v>
      </c>
    </row>
    <row r="1091" spans="1:10" ht="60">
      <c r="A1091" s="27" t="s">
        <v>2757</v>
      </c>
      <c r="B1091" s="22" t="s">
        <v>2270</v>
      </c>
      <c r="C1091" s="4" t="s">
        <v>58</v>
      </c>
      <c r="D1091" s="22" t="s">
        <v>2271</v>
      </c>
      <c r="E1091" s="22" t="s">
        <v>100</v>
      </c>
      <c r="F1091" s="22">
        <v>3</v>
      </c>
      <c r="G1091" s="22" t="s">
        <v>2710</v>
      </c>
      <c r="H1091" s="5">
        <v>5785.7142857142853</v>
      </c>
      <c r="I1091" s="49" t="s">
        <v>681</v>
      </c>
      <c r="J1091" s="5" t="s">
        <v>102</v>
      </c>
    </row>
    <row r="1092" spans="1:10" ht="60">
      <c r="A1092" s="27" t="s">
        <v>2758</v>
      </c>
      <c r="B1092" s="22" t="s">
        <v>395</v>
      </c>
      <c r="C1092" s="4" t="s">
        <v>58</v>
      </c>
      <c r="D1092" s="22" t="s">
        <v>2372</v>
      </c>
      <c r="E1092" s="22" t="s">
        <v>100</v>
      </c>
      <c r="F1092" s="22">
        <v>10</v>
      </c>
      <c r="G1092" s="22" t="s">
        <v>2710</v>
      </c>
      <c r="H1092" s="5">
        <v>4232.1428571428569</v>
      </c>
      <c r="I1092" s="49" t="s">
        <v>681</v>
      </c>
      <c r="J1092" s="5" t="s">
        <v>102</v>
      </c>
    </row>
    <row r="1093" spans="1:10" ht="60">
      <c r="A1093" s="27" t="s">
        <v>2759</v>
      </c>
      <c r="B1093" s="22" t="s">
        <v>395</v>
      </c>
      <c r="C1093" s="4" t="s">
        <v>58</v>
      </c>
      <c r="D1093" s="22" t="s">
        <v>2374</v>
      </c>
      <c r="E1093" s="22" t="s">
        <v>100</v>
      </c>
      <c r="F1093" s="22">
        <v>10</v>
      </c>
      <c r="G1093" s="22" t="s">
        <v>2710</v>
      </c>
      <c r="H1093" s="5">
        <v>2571.4285714285711</v>
      </c>
      <c r="I1093" s="49" t="s">
        <v>681</v>
      </c>
      <c r="J1093" s="5" t="s">
        <v>102</v>
      </c>
    </row>
    <row r="1094" spans="1:10" ht="60">
      <c r="A1094" s="27" t="s">
        <v>2760</v>
      </c>
      <c r="B1094" s="22" t="s">
        <v>395</v>
      </c>
      <c r="C1094" s="4" t="s">
        <v>58</v>
      </c>
      <c r="D1094" s="22" t="s">
        <v>2338</v>
      </c>
      <c r="E1094" s="22" t="s">
        <v>100</v>
      </c>
      <c r="F1094" s="22">
        <v>10</v>
      </c>
      <c r="G1094" s="22" t="s">
        <v>2710</v>
      </c>
      <c r="H1094" s="5">
        <v>383.92857142857139</v>
      </c>
      <c r="I1094" s="49" t="s">
        <v>681</v>
      </c>
      <c r="J1094" s="5" t="s">
        <v>102</v>
      </c>
    </row>
    <row r="1095" spans="1:10" ht="60">
      <c r="A1095" s="27" t="s">
        <v>2761</v>
      </c>
      <c r="B1095" s="22" t="s">
        <v>2377</v>
      </c>
      <c r="C1095" s="4" t="s">
        <v>58</v>
      </c>
      <c r="D1095" s="22" t="s">
        <v>2378</v>
      </c>
      <c r="E1095" s="22" t="s">
        <v>100</v>
      </c>
      <c r="F1095" s="22">
        <v>19</v>
      </c>
      <c r="G1095" s="22" t="s">
        <v>2710</v>
      </c>
      <c r="H1095" s="5">
        <v>4987.5</v>
      </c>
      <c r="I1095" s="49" t="s">
        <v>681</v>
      </c>
      <c r="J1095" s="5" t="s">
        <v>102</v>
      </c>
    </row>
    <row r="1096" spans="1:10" ht="60">
      <c r="A1096" s="27" t="s">
        <v>2762</v>
      </c>
      <c r="B1096" s="22" t="s">
        <v>2531</v>
      </c>
      <c r="C1096" s="4" t="s">
        <v>58</v>
      </c>
      <c r="D1096" s="22" t="s">
        <v>2296</v>
      </c>
      <c r="E1096" s="22" t="s">
        <v>100</v>
      </c>
      <c r="F1096" s="22">
        <v>5</v>
      </c>
      <c r="G1096" s="22" t="s">
        <v>2710</v>
      </c>
      <c r="H1096" s="5">
        <v>2633.9285714285711</v>
      </c>
      <c r="I1096" s="49" t="s">
        <v>681</v>
      </c>
      <c r="J1096" s="5" t="s">
        <v>102</v>
      </c>
    </row>
    <row r="1097" spans="1:10" ht="60">
      <c r="A1097" s="27" t="s">
        <v>2763</v>
      </c>
      <c r="B1097" s="22" t="s">
        <v>2480</v>
      </c>
      <c r="C1097" s="4" t="s">
        <v>58</v>
      </c>
      <c r="D1097" s="22" t="s">
        <v>2480</v>
      </c>
      <c r="E1097" s="22" t="s">
        <v>100</v>
      </c>
      <c r="F1097" s="22">
        <v>9</v>
      </c>
      <c r="G1097" s="22" t="s">
        <v>2710</v>
      </c>
      <c r="H1097" s="5">
        <v>1349.9999999999998</v>
      </c>
      <c r="I1097" s="49" t="s">
        <v>681</v>
      </c>
      <c r="J1097" s="5" t="s">
        <v>102</v>
      </c>
    </row>
    <row r="1098" spans="1:10" ht="60">
      <c r="A1098" s="27" t="s">
        <v>2764</v>
      </c>
      <c r="B1098" s="22" t="s">
        <v>2340</v>
      </c>
      <c r="C1098" s="4" t="s">
        <v>58</v>
      </c>
      <c r="D1098" s="22" t="s">
        <v>2341</v>
      </c>
      <c r="E1098" s="22" t="s">
        <v>2342</v>
      </c>
      <c r="F1098" s="22">
        <v>20</v>
      </c>
      <c r="G1098" s="22" t="s">
        <v>2710</v>
      </c>
      <c r="H1098" s="5">
        <v>4499.9999999999991</v>
      </c>
      <c r="I1098" s="49" t="s">
        <v>681</v>
      </c>
      <c r="J1098" s="5" t="s">
        <v>102</v>
      </c>
    </row>
    <row r="1099" spans="1:10" ht="60">
      <c r="A1099" s="27" t="s">
        <v>2765</v>
      </c>
      <c r="B1099" s="22" t="s">
        <v>2440</v>
      </c>
      <c r="C1099" s="4" t="s">
        <v>58</v>
      </c>
      <c r="D1099" s="22" t="s">
        <v>2440</v>
      </c>
      <c r="E1099" s="22" t="s">
        <v>100</v>
      </c>
      <c r="F1099" s="22">
        <v>7</v>
      </c>
      <c r="G1099" s="22" t="s">
        <v>2710</v>
      </c>
      <c r="H1099" s="5">
        <v>3524.9999999999995</v>
      </c>
      <c r="I1099" s="49" t="s">
        <v>681</v>
      </c>
      <c r="J1099" s="5" t="s">
        <v>102</v>
      </c>
    </row>
    <row r="1100" spans="1:10" ht="60">
      <c r="A1100" s="27" t="s">
        <v>2766</v>
      </c>
      <c r="B1100" s="22" t="s">
        <v>2381</v>
      </c>
      <c r="C1100" s="4" t="s">
        <v>58</v>
      </c>
      <c r="D1100" s="22" t="s">
        <v>2381</v>
      </c>
      <c r="E1100" s="22" t="s">
        <v>100</v>
      </c>
      <c r="F1100" s="22">
        <v>8</v>
      </c>
      <c r="G1100" s="22" t="s">
        <v>2710</v>
      </c>
      <c r="H1100" s="5">
        <v>11957.142857142857</v>
      </c>
      <c r="I1100" s="49" t="s">
        <v>681</v>
      </c>
      <c r="J1100" s="5" t="s">
        <v>102</v>
      </c>
    </row>
    <row r="1101" spans="1:10" ht="60">
      <c r="A1101" s="27" t="s">
        <v>2767</v>
      </c>
      <c r="B1101" s="22" t="s">
        <v>2344</v>
      </c>
      <c r="C1101" s="4" t="s">
        <v>58</v>
      </c>
      <c r="D1101" s="22" t="s">
        <v>2344</v>
      </c>
      <c r="E1101" s="22" t="s">
        <v>100</v>
      </c>
      <c r="F1101" s="22">
        <v>8</v>
      </c>
      <c r="G1101" s="22" t="s">
        <v>2710</v>
      </c>
      <c r="H1101" s="5">
        <v>7371.4285714285706</v>
      </c>
      <c r="I1101" s="49" t="s">
        <v>681</v>
      </c>
      <c r="J1101" s="5" t="s">
        <v>102</v>
      </c>
    </row>
    <row r="1102" spans="1:10" ht="60">
      <c r="A1102" s="27" t="s">
        <v>2768</v>
      </c>
      <c r="B1102" s="22" t="s">
        <v>2346</v>
      </c>
      <c r="C1102" s="4" t="s">
        <v>58</v>
      </c>
      <c r="D1102" s="22" t="s">
        <v>2346</v>
      </c>
      <c r="E1102" s="22" t="s">
        <v>100</v>
      </c>
      <c r="F1102" s="22">
        <v>10</v>
      </c>
      <c r="G1102" s="22" t="s">
        <v>2710</v>
      </c>
      <c r="H1102" s="5">
        <v>6374.9999999999991</v>
      </c>
      <c r="I1102" s="49" t="s">
        <v>681</v>
      </c>
      <c r="J1102" s="5" t="s">
        <v>102</v>
      </c>
    </row>
    <row r="1103" spans="1:10" ht="60">
      <c r="A1103" s="27" t="s">
        <v>2769</v>
      </c>
      <c r="B1103" s="22" t="s">
        <v>2444</v>
      </c>
      <c r="C1103" s="4" t="s">
        <v>58</v>
      </c>
      <c r="D1103" s="22" t="s">
        <v>2444</v>
      </c>
      <c r="E1103" s="22" t="s">
        <v>100</v>
      </c>
      <c r="F1103" s="22">
        <v>15</v>
      </c>
      <c r="G1103" s="22" t="s">
        <v>2710</v>
      </c>
      <c r="H1103" s="5">
        <v>3910.7142857142849</v>
      </c>
      <c r="I1103" s="49" t="s">
        <v>681</v>
      </c>
      <c r="J1103" s="5" t="s">
        <v>102</v>
      </c>
    </row>
    <row r="1104" spans="1:10" ht="60">
      <c r="A1104" s="27" t="s">
        <v>2770</v>
      </c>
      <c r="B1104" s="22" t="s">
        <v>2348</v>
      </c>
      <c r="C1104" s="4" t="s">
        <v>58</v>
      </c>
      <c r="D1104" s="22" t="s">
        <v>2348</v>
      </c>
      <c r="E1104" s="22" t="s">
        <v>100</v>
      </c>
      <c r="F1104" s="22">
        <v>5</v>
      </c>
      <c r="G1104" s="22" t="s">
        <v>2710</v>
      </c>
      <c r="H1104" s="5">
        <v>3861.6071428571422</v>
      </c>
      <c r="I1104" s="49" t="s">
        <v>681</v>
      </c>
      <c r="J1104" s="5" t="s">
        <v>102</v>
      </c>
    </row>
    <row r="1105" spans="1:10" ht="60">
      <c r="A1105" s="27" t="s">
        <v>2771</v>
      </c>
      <c r="B1105" s="22" t="s">
        <v>2551</v>
      </c>
      <c r="C1105" s="4" t="s">
        <v>58</v>
      </c>
      <c r="D1105" s="22" t="s">
        <v>2551</v>
      </c>
      <c r="E1105" s="22" t="s">
        <v>100</v>
      </c>
      <c r="F1105" s="22">
        <v>20</v>
      </c>
      <c r="G1105" s="22" t="s">
        <v>2710</v>
      </c>
      <c r="H1105" s="5">
        <v>1160.7142857142856</v>
      </c>
      <c r="I1105" s="49" t="s">
        <v>681</v>
      </c>
      <c r="J1105" s="5" t="s">
        <v>102</v>
      </c>
    </row>
    <row r="1106" spans="1:10" ht="60">
      <c r="A1106" s="27" t="s">
        <v>2772</v>
      </c>
      <c r="B1106" s="22" t="s">
        <v>2553</v>
      </c>
      <c r="C1106" s="4" t="s">
        <v>58</v>
      </c>
      <c r="D1106" s="22" t="s">
        <v>2553</v>
      </c>
      <c r="E1106" s="22" t="s">
        <v>100</v>
      </c>
      <c r="F1106" s="22">
        <v>20</v>
      </c>
      <c r="G1106" s="22" t="s">
        <v>2710</v>
      </c>
      <c r="H1106" s="5">
        <v>1160.7142857142856</v>
      </c>
      <c r="I1106" s="49" t="s">
        <v>681</v>
      </c>
      <c r="J1106" s="5" t="s">
        <v>102</v>
      </c>
    </row>
    <row r="1107" spans="1:10" ht="45">
      <c r="A1107" s="27" t="s">
        <v>2773</v>
      </c>
      <c r="B1107" s="17" t="s">
        <v>603</v>
      </c>
      <c r="C1107" s="4" t="s">
        <v>58</v>
      </c>
      <c r="D1107" s="22" t="s">
        <v>2350</v>
      </c>
      <c r="E1107" s="22" t="s">
        <v>604</v>
      </c>
      <c r="F1107" s="22">
        <v>63</v>
      </c>
      <c r="G1107" s="22" t="s">
        <v>225</v>
      </c>
      <c r="H1107" s="5">
        <v>75892.85714285713</v>
      </c>
      <c r="I1107" s="49" t="s">
        <v>681</v>
      </c>
      <c r="J1107" s="5" t="s">
        <v>102</v>
      </c>
    </row>
    <row r="1108" spans="1:10" ht="30">
      <c r="A1108" s="27" t="s">
        <v>2774</v>
      </c>
      <c r="B1108" s="22" t="s">
        <v>397</v>
      </c>
      <c r="C1108" s="4" t="s">
        <v>58</v>
      </c>
      <c r="D1108" s="22" t="s">
        <v>2360</v>
      </c>
      <c r="E1108" s="22" t="s">
        <v>100</v>
      </c>
      <c r="F1108" s="22">
        <v>10</v>
      </c>
      <c r="G1108" s="22" t="s">
        <v>225</v>
      </c>
      <c r="H1108" s="5">
        <v>7178.5714285714275</v>
      </c>
      <c r="I1108" s="49" t="s">
        <v>681</v>
      </c>
      <c r="J1108" s="5" t="s">
        <v>102</v>
      </c>
    </row>
    <row r="1109" spans="1:10" ht="30">
      <c r="A1109" s="27" t="s">
        <v>2775</v>
      </c>
      <c r="B1109" s="22" t="s">
        <v>2362</v>
      </c>
      <c r="C1109" s="4" t="s">
        <v>58</v>
      </c>
      <c r="D1109" s="22" t="s">
        <v>2489</v>
      </c>
      <c r="E1109" s="22" t="s">
        <v>100</v>
      </c>
      <c r="F1109" s="22">
        <v>50</v>
      </c>
      <c r="G1109" s="22" t="s">
        <v>225</v>
      </c>
      <c r="H1109" s="5">
        <v>3482.1428571428569</v>
      </c>
      <c r="I1109" s="49" t="s">
        <v>681</v>
      </c>
      <c r="J1109" s="5" t="s">
        <v>102</v>
      </c>
    </row>
    <row r="1110" spans="1:10" ht="30">
      <c r="A1110" s="27" t="s">
        <v>2776</v>
      </c>
      <c r="B1110" s="22" t="s">
        <v>2362</v>
      </c>
      <c r="C1110" s="4" t="s">
        <v>58</v>
      </c>
      <c r="D1110" s="22" t="s">
        <v>2363</v>
      </c>
      <c r="E1110" s="22" t="s">
        <v>100</v>
      </c>
      <c r="F1110" s="22">
        <v>100</v>
      </c>
      <c r="G1110" s="22" t="s">
        <v>225</v>
      </c>
      <c r="H1110" s="5">
        <v>2678.5714285714284</v>
      </c>
      <c r="I1110" s="49" t="s">
        <v>681</v>
      </c>
      <c r="J1110" s="5" t="s">
        <v>102</v>
      </c>
    </row>
    <row r="1111" spans="1:10" ht="30">
      <c r="A1111" s="27" t="s">
        <v>2777</v>
      </c>
      <c r="B1111" s="22" t="s">
        <v>2388</v>
      </c>
      <c r="C1111" s="4" t="s">
        <v>58</v>
      </c>
      <c r="D1111" s="22" t="s">
        <v>2389</v>
      </c>
      <c r="E1111" s="22" t="s">
        <v>100</v>
      </c>
      <c r="F1111" s="22">
        <v>20</v>
      </c>
      <c r="G1111" s="22" t="s">
        <v>225</v>
      </c>
      <c r="H1111" s="5">
        <v>257.14285714285711</v>
      </c>
      <c r="I1111" s="49" t="s">
        <v>681</v>
      </c>
      <c r="J1111" s="5" t="s">
        <v>102</v>
      </c>
    </row>
    <row r="1112" spans="1:10" ht="30">
      <c r="A1112" s="27" t="s">
        <v>2778</v>
      </c>
      <c r="B1112" s="22" t="s">
        <v>2313</v>
      </c>
      <c r="C1112" s="4" t="s">
        <v>58</v>
      </c>
      <c r="D1112" s="22" t="s">
        <v>2313</v>
      </c>
      <c r="E1112" s="22" t="s">
        <v>100</v>
      </c>
      <c r="F1112" s="22">
        <v>100</v>
      </c>
      <c r="G1112" s="22" t="s">
        <v>225</v>
      </c>
      <c r="H1112" s="5">
        <v>3571.4285714285706</v>
      </c>
      <c r="I1112" s="49" t="s">
        <v>681</v>
      </c>
      <c r="J1112" s="5" t="s">
        <v>102</v>
      </c>
    </row>
    <row r="1113" spans="1:10" ht="30">
      <c r="A1113" s="27" t="s">
        <v>2779</v>
      </c>
      <c r="B1113" s="17" t="s">
        <v>2276</v>
      </c>
      <c r="C1113" s="4" t="s">
        <v>58</v>
      </c>
      <c r="D1113" s="22" t="s">
        <v>2315</v>
      </c>
      <c r="E1113" s="22" t="s">
        <v>2316</v>
      </c>
      <c r="F1113" s="22">
        <v>4</v>
      </c>
      <c r="G1113" s="22" t="s">
        <v>225</v>
      </c>
      <c r="H1113" s="5">
        <v>3749.9999999999995</v>
      </c>
      <c r="I1113" s="49" t="s">
        <v>681</v>
      </c>
      <c r="J1113" s="5" t="s">
        <v>102</v>
      </c>
    </row>
    <row r="1114" spans="1:10" ht="30">
      <c r="A1114" s="27" t="s">
        <v>2780</v>
      </c>
      <c r="B1114" s="22" t="s">
        <v>2180</v>
      </c>
      <c r="C1114" s="4" t="s">
        <v>58</v>
      </c>
      <c r="D1114" s="22" t="s">
        <v>2318</v>
      </c>
      <c r="E1114" s="22" t="s">
        <v>100</v>
      </c>
      <c r="F1114" s="22">
        <v>200</v>
      </c>
      <c r="G1114" s="22" t="s">
        <v>225</v>
      </c>
      <c r="H1114" s="5">
        <v>13392.857142857141</v>
      </c>
      <c r="I1114" s="49" t="s">
        <v>681</v>
      </c>
      <c r="J1114" s="5" t="s">
        <v>102</v>
      </c>
    </row>
    <row r="1115" spans="1:10" ht="30">
      <c r="A1115" s="27" t="s">
        <v>2781</v>
      </c>
      <c r="B1115" s="22" t="s">
        <v>2396</v>
      </c>
      <c r="C1115" s="4" t="s">
        <v>58</v>
      </c>
      <c r="D1115" s="22" t="s">
        <v>2396</v>
      </c>
      <c r="E1115" s="22" t="s">
        <v>100</v>
      </c>
      <c r="F1115" s="22">
        <v>30</v>
      </c>
      <c r="G1115" s="22" t="s">
        <v>225</v>
      </c>
      <c r="H1115" s="5">
        <v>2732.1428571428569</v>
      </c>
      <c r="I1115" s="49" t="s">
        <v>681</v>
      </c>
      <c r="J1115" s="5" t="s">
        <v>102</v>
      </c>
    </row>
    <row r="1116" spans="1:10" ht="30">
      <c r="A1116" s="27" t="s">
        <v>2782</v>
      </c>
      <c r="B1116" s="22" t="s">
        <v>2326</v>
      </c>
      <c r="C1116" s="4" t="s">
        <v>58</v>
      </c>
      <c r="D1116" s="22" t="s">
        <v>2326</v>
      </c>
      <c r="E1116" s="22" t="s">
        <v>100</v>
      </c>
      <c r="F1116" s="22">
        <v>320</v>
      </c>
      <c r="G1116" s="22" t="s">
        <v>225</v>
      </c>
      <c r="H1116" s="5">
        <v>4114.2857142857138</v>
      </c>
      <c r="I1116" s="49" t="s">
        <v>681</v>
      </c>
      <c r="J1116" s="5" t="s">
        <v>102</v>
      </c>
    </row>
    <row r="1117" spans="1:10" ht="30">
      <c r="A1117" s="27" t="s">
        <v>2783</v>
      </c>
      <c r="B1117" s="22" t="s">
        <v>2248</v>
      </c>
      <c r="C1117" s="4" t="s">
        <v>58</v>
      </c>
      <c r="D1117" s="22" t="s">
        <v>2248</v>
      </c>
      <c r="E1117" s="22" t="s">
        <v>100</v>
      </c>
      <c r="F1117" s="22">
        <v>10</v>
      </c>
      <c r="G1117" s="22" t="s">
        <v>225</v>
      </c>
      <c r="H1117" s="5">
        <v>857.14285714285711</v>
      </c>
      <c r="I1117" s="49" t="s">
        <v>681</v>
      </c>
      <c r="J1117" s="5" t="s">
        <v>102</v>
      </c>
    </row>
    <row r="1118" spans="1:10" ht="30">
      <c r="A1118" s="27" t="s">
        <v>2784</v>
      </c>
      <c r="B1118" s="22" t="s">
        <v>2208</v>
      </c>
      <c r="C1118" s="4" t="s">
        <v>58</v>
      </c>
      <c r="D1118" s="22" t="s">
        <v>2208</v>
      </c>
      <c r="E1118" s="22" t="s">
        <v>100</v>
      </c>
      <c r="F1118" s="22">
        <v>10</v>
      </c>
      <c r="G1118" s="22" t="s">
        <v>225</v>
      </c>
      <c r="H1118" s="5">
        <v>428.57142857142856</v>
      </c>
      <c r="I1118" s="49" t="s">
        <v>681</v>
      </c>
      <c r="J1118" s="5" t="s">
        <v>102</v>
      </c>
    </row>
    <row r="1119" spans="1:10" ht="30">
      <c r="A1119" s="27" t="s">
        <v>2785</v>
      </c>
      <c r="B1119" s="22" t="s">
        <v>2505</v>
      </c>
      <c r="C1119" s="4" t="s">
        <v>58</v>
      </c>
      <c r="D1119" s="22" t="s">
        <v>2506</v>
      </c>
      <c r="E1119" s="22" t="s">
        <v>100</v>
      </c>
      <c r="F1119" s="22">
        <v>10</v>
      </c>
      <c r="G1119" s="22" t="s">
        <v>225</v>
      </c>
      <c r="H1119" s="5">
        <v>749.99999999999989</v>
      </c>
      <c r="I1119" s="49" t="s">
        <v>681</v>
      </c>
      <c r="J1119" s="5" t="s">
        <v>102</v>
      </c>
    </row>
    <row r="1120" spans="1:10" ht="30">
      <c r="A1120" s="27" t="s">
        <v>2786</v>
      </c>
      <c r="B1120" s="22" t="s">
        <v>2280</v>
      </c>
      <c r="C1120" s="4" t="s">
        <v>58</v>
      </c>
      <c r="D1120" s="22" t="s">
        <v>2280</v>
      </c>
      <c r="E1120" s="22" t="s">
        <v>100</v>
      </c>
      <c r="F1120" s="22">
        <v>15</v>
      </c>
      <c r="G1120" s="22" t="s">
        <v>225</v>
      </c>
      <c r="H1120" s="5">
        <v>4258.9285714285706</v>
      </c>
      <c r="I1120" s="49" t="s">
        <v>681</v>
      </c>
      <c r="J1120" s="5" t="s">
        <v>102</v>
      </c>
    </row>
    <row r="1121" spans="1:10" ht="30">
      <c r="A1121" s="27" t="s">
        <v>2787</v>
      </c>
      <c r="B1121" s="22" t="s">
        <v>2403</v>
      </c>
      <c r="C1121" s="4" t="s">
        <v>58</v>
      </c>
      <c r="D1121" s="22" t="s">
        <v>2403</v>
      </c>
      <c r="E1121" s="22" t="s">
        <v>100</v>
      </c>
      <c r="F1121" s="22">
        <v>20</v>
      </c>
      <c r="G1121" s="22" t="s">
        <v>225</v>
      </c>
      <c r="H1121" s="5">
        <v>3535.7142857142853</v>
      </c>
      <c r="I1121" s="49" t="s">
        <v>681</v>
      </c>
      <c r="J1121" s="5" t="s">
        <v>102</v>
      </c>
    </row>
    <row r="1122" spans="1:10" ht="30">
      <c r="A1122" s="27" t="s">
        <v>2788</v>
      </c>
      <c r="B1122" s="22" t="s">
        <v>2305</v>
      </c>
      <c r="C1122" s="4" t="s">
        <v>58</v>
      </c>
      <c r="D1122" s="22" t="s">
        <v>2305</v>
      </c>
      <c r="E1122" s="22" t="s">
        <v>604</v>
      </c>
      <c r="F1122" s="22">
        <v>50</v>
      </c>
      <c r="G1122" s="22" t="s">
        <v>225</v>
      </c>
      <c r="H1122" s="5">
        <v>9910.7142857142844</v>
      </c>
      <c r="I1122" s="49" t="s">
        <v>681</v>
      </c>
      <c r="J1122" s="5" t="s">
        <v>102</v>
      </c>
    </row>
    <row r="1123" spans="1:10" ht="30">
      <c r="A1123" s="27" t="s">
        <v>2789</v>
      </c>
      <c r="B1123" s="22" t="s">
        <v>2203</v>
      </c>
      <c r="C1123" s="4" t="s">
        <v>58</v>
      </c>
      <c r="D1123" s="22" t="s">
        <v>2204</v>
      </c>
      <c r="E1123" s="22" t="s">
        <v>100</v>
      </c>
      <c r="F1123" s="22">
        <v>20</v>
      </c>
      <c r="G1123" s="22" t="s">
        <v>225</v>
      </c>
      <c r="H1123" s="5">
        <v>2999.9999999999995</v>
      </c>
      <c r="I1123" s="49" t="s">
        <v>681</v>
      </c>
      <c r="J1123" s="5" t="s">
        <v>102</v>
      </c>
    </row>
    <row r="1124" spans="1:10" ht="30">
      <c r="A1124" s="27" t="s">
        <v>2790</v>
      </c>
      <c r="B1124" s="22" t="s">
        <v>2427</v>
      </c>
      <c r="C1124" s="4" t="s">
        <v>58</v>
      </c>
      <c r="D1124" s="22" t="s">
        <v>2427</v>
      </c>
      <c r="E1124" s="22" t="s">
        <v>100</v>
      </c>
      <c r="F1124" s="22">
        <v>2</v>
      </c>
      <c r="G1124" s="22" t="s">
        <v>225</v>
      </c>
      <c r="H1124" s="5">
        <v>3749.9999999999995</v>
      </c>
      <c r="I1124" s="49" t="s">
        <v>681</v>
      </c>
      <c r="J1124" s="5" t="s">
        <v>102</v>
      </c>
    </row>
    <row r="1125" spans="1:10" ht="30">
      <c r="A1125" s="27" t="s">
        <v>2791</v>
      </c>
      <c r="B1125" s="22" t="s">
        <v>443</v>
      </c>
      <c r="C1125" s="4" t="s">
        <v>58</v>
      </c>
      <c r="D1125" s="22" t="s">
        <v>2215</v>
      </c>
      <c r="E1125" s="22" t="s">
        <v>100</v>
      </c>
      <c r="F1125" s="22">
        <v>10</v>
      </c>
      <c r="G1125" s="22" t="s">
        <v>225</v>
      </c>
      <c r="H1125" s="5">
        <v>1446.4285714285713</v>
      </c>
      <c r="I1125" s="49" t="s">
        <v>681</v>
      </c>
      <c r="J1125" s="5" t="s">
        <v>102</v>
      </c>
    </row>
    <row r="1126" spans="1:10" ht="30">
      <c r="A1126" s="27" t="s">
        <v>2792</v>
      </c>
      <c r="B1126" s="22" t="s">
        <v>2430</v>
      </c>
      <c r="C1126" s="4" t="s">
        <v>58</v>
      </c>
      <c r="D1126" s="22" t="s">
        <v>2431</v>
      </c>
      <c r="E1126" s="22" t="s">
        <v>100</v>
      </c>
      <c r="F1126" s="22">
        <v>15</v>
      </c>
      <c r="G1126" s="22" t="s">
        <v>225</v>
      </c>
      <c r="H1126" s="5">
        <v>4982.1428571428569</v>
      </c>
      <c r="I1126" s="49" t="s">
        <v>681</v>
      </c>
      <c r="J1126" s="5" t="s">
        <v>102</v>
      </c>
    </row>
    <row r="1127" spans="1:10" ht="30">
      <c r="A1127" s="27" t="s">
        <v>2793</v>
      </c>
      <c r="B1127" s="22" t="s">
        <v>395</v>
      </c>
      <c r="C1127" s="4" t="s">
        <v>58</v>
      </c>
      <c r="D1127" s="22" t="s">
        <v>2372</v>
      </c>
      <c r="E1127" s="22" t="s">
        <v>100</v>
      </c>
      <c r="F1127" s="22">
        <v>30</v>
      </c>
      <c r="G1127" s="22" t="s">
        <v>225</v>
      </c>
      <c r="H1127" s="5">
        <v>12696.428571428571</v>
      </c>
      <c r="I1127" s="49" t="s">
        <v>681</v>
      </c>
      <c r="J1127" s="5" t="s">
        <v>102</v>
      </c>
    </row>
    <row r="1128" spans="1:10" ht="30">
      <c r="A1128" s="27" t="s">
        <v>2794</v>
      </c>
      <c r="B1128" s="22" t="s">
        <v>395</v>
      </c>
      <c r="C1128" s="4" t="s">
        <v>58</v>
      </c>
      <c r="D1128" s="22" t="s">
        <v>2374</v>
      </c>
      <c r="E1128" s="22" t="s">
        <v>100</v>
      </c>
      <c r="F1128" s="22">
        <v>10</v>
      </c>
      <c r="G1128" s="22" t="s">
        <v>225</v>
      </c>
      <c r="H1128" s="5">
        <v>2571.4285714285711</v>
      </c>
      <c r="I1128" s="49" t="s">
        <v>681</v>
      </c>
      <c r="J1128" s="5" t="s">
        <v>102</v>
      </c>
    </row>
    <row r="1129" spans="1:10" ht="30">
      <c r="A1129" s="27" t="s">
        <v>2795</v>
      </c>
      <c r="B1129" s="22" t="s">
        <v>395</v>
      </c>
      <c r="C1129" s="4" t="s">
        <v>58</v>
      </c>
      <c r="D1129" s="22" t="s">
        <v>2338</v>
      </c>
      <c r="E1129" s="22" t="s">
        <v>100</v>
      </c>
      <c r="F1129" s="22">
        <v>5</v>
      </c>
      <c r="G1129" s="22" t="s">
        <v>225</v>
      </c>
      <c r="H1129" s="5">
        <v>191.96428571428569</v>
      </c>
      <c r="I1129" s="49" t="s">
        <v>681</v>
      </c>
      <c r="J1129" s="5" t="s">
        <v>102</v>
      </c>
    </row>
    <row r="1130" spans="1:10" ht="30">
      <c r="A1130" s="27" t="s">
        <v>2796</v>
      </c>
      <c r="B1130" s="22" t="s">
        <v>2377</v>
      </c>
      <c r="C1130" s="4" t="s">
        <v>58</v>
      </c>
      <c r="D1130" s="22" t="s">
        <v>2378</v>
      </c>
      <c r="E1130" s="22" t="s">
        <v>100</v>
      </c>
      <c r="F1130" s="22">
        <v>20</v>
      </c>
      <c r="G1130" s="22" t="s">
        <v>225</v>
      </c>
      <c r="H1130" s="5">
        <v>5250</v>
      </c>
      <c r="I1130" s="49" t="s">
        <v>681</v>
      </c>
      <c r="J1130" s="5" t="s">
        <v>102</v>
      </c>
    </row>
    <row r="1131" spans="1:10" ht="30">
      <c r="A1131" s="27" t="s">
        <v>2797</v>
      </c>
      <c r="B1131" s="22" t="s">
        <v>2437</v>
      </c>
      <c r="C1131" s="4" t="s">
        <v>58</v>
      </c>
      <c r="D1131" s="22" t="s">
        <v>2438</v>
      </c>
      <c r="E1131" s="22" t="s">
        <v>100</v>
      </c>
      <c r="F1131" s="22">
        <v>10</v>
      </c>
      <c r="G1131" s="22" t="s">
        <v>225</v>
      </c>
      <c r="H1131" s="5">
        <v>1874.9999999999998</v>
      </c>
      <c r="I1131" s="49" t="s">
        <v>681</v>
      </c>
      <c r="J1131" s="5" t="s">
        <v>102</v>
      </c>
    </row>
    <row r="1132" spans="1:10" ht="30">
      <c r="A1132" s="27" t="s">
        <v>2798</v>
      </c>
      <c r="B1132" s="22" t="s">
        <v>2531</v>
      </c>
      <c r="C1132" s="4" t="s">
        <v>58</v>
      </c>
      <c r="D1132" s="22" t="s">
        <v>2296</v>
      </c>
      <c r="E1132" s="22" t="s">
        <v>100</v>
      </c>
      <c r="F1132" s="22">
        <v>15</v>
      </c>
      <c r="G1132" s="22" t="s">
        <v>225</v>
      </c>
      <c r="H1132" s="5">
        <v>7901.7857142857138</v>
      </c>
      <c r="I1132" s="49" t="s">
        <v>681</v>
      </c>
      <c r="J1132" s="5" t="s">
        <v>102</v>
      </c>
    </row>
    <row r="1133" spans="1:10" ht="30">
      <c r="A1133" s="27" t="s">
        <v>2799</v>
      </c>
      <c r="B1133" s="22" t="s">
        <v>2480</v>
      </c>
      <c r="C1133" s="4" t="s">
        <v>58</v>
      </c>
      <c r="D1133" s="22" t="s">
        <v>2480</v>
      </c>
      <c r="E1133" s="22" t="s">
        <v>100</v>
      </c>
      <c r="F1133" s="22">
        <v>10</v>
      </c>
      <c r="G1133" s="22" t="s">
        <v>225</v>
      </c>
      <c r="H1133" s="5">
        <v>1499.9999999999998</v>
      </c>
      <c r="I1133" s="49" t="s">
        <v>681</v>
      </c>
      <c r="J1133" s="5" t="s">
        <v>102</v>
      </c>
    </row>
    <row r="1134" spans="1:10" ht="30">
      <c r="A1134" s="27" t="s">
        <v>2800</v>
      </c>
      <c r="B1134" s="22" t="s">
        <v>2340</v>
      </c>
      <c r="C1134" s="4" t="s">
        <v>58</v>
      </c>
      <c r="D1134" s="22" t="s">
        <v>2341</v>
      </c>
      <c r="E1134" s="22" t="s">
        <v>2342</v>
      </c>
      <c r="F1134" s="22">
        <v>10</v>
      </c>
      <c r="G1134" s="22" t="s">
        <v>225</v>
      </c>
      <c r="H1134" s="5">
        <v>2249.9999999999995</v>
      </c>
      <c r="I1134" s="49" t="s">
        <v>681</v>
      </c>
      <c r="J1134" s="5" t="s">
        <v>102</v>
      </c>
    </row>
    <row r="1135" spans="1:10" ht="30">
      <c r="A1135" s="27" t="s">
        <v>2801</v>
      </c>
      <c r="B1135" s="22" t="s">
        <v>2440</v>
      </c>
      <c r="C1135" s="4" t="s">
        <v>58</v>
      </c>
      <c r="D1135" s="22" t="s">
        <v>2440</v>
      </c>
      <c r="E1135" s="22" t="s">
        <v>100</v>
      </c>
      <c r="F1135" s="22">
        <v>40</v>
      </c>
      <c r="G1135" s="22" t="s">
        <v>225</v>
      </c>
      <c r="H1135" s="5">
        <v>20142.857142857141</v>
      </c>
      <c r="I1135" s="49" t="s">
        <v>681</v>
      </c>
      <c r="J1135" s="5" t="s">
        <v>102</v>
      </c>
    </row>
    <row r="1136" spans="1:10" ht="30">
      <c r="A1136" s="27" t="s">
        <v>2802</v>
      </c>
      <c r="B1136" s="22" t="s">
        <v>2381</v>
      </c>
      <c r="C1136" s="4" t="s">
        <v>58</v>
      </c>
      <c r="D1136" s="22" t="s">
        <v>2381</v>
      </c>
      <c r="E1136" s="22" t="s">
        <v>100</v>
      </c>
      <c r="F1136" s="22">
        <v>10</v>
      </c>
      <c r="G1136" s="22" t="s">
        <v>225</v>
      </c>
      <c r="H1136" s="5">
        <v>14946.428571428571</v>
      </c>
      <c r="I1136" s="49" t="s">
        <v>681</v>
      </c>
      <c r="J1136" s="5" t="s">
        <v>102</v>
      </c>
    </row>
    <row r="1137" spans="1:10" ht="30">
      <c r="A1137" s="27" t="s">
        <v>2803</v>
      </c>
      <c r="B1137" s="22" t="s">
        <v>2346</v>
      </c>
      <c r="C1137" s="4" t="s">
        <v>58</v>
      </c>
      <c r="D1137" s="22" t="s">
        <v>2346</v>
      </c>
      <c r="E1137" s="22" t="s">
        <v>100</v>
      </c>
      <c r="F1137" s="22">
        <v>10</v>
      </c>
      <c r="G1137" s="22" t="s">
        <v>225</v>
      </c>
      <c r="H1137" s="5">
        <v>6374.9999999999991</v>
      </c>
      <c r="I1137" s="49" t="s">
        <v>681</v>
      </c>
      <c r="J1137" s="5" t="s">
        <v>102</v>
      </c>
    </row>
    <row r="1138" spans="1:10" ht="30">
      <c r="A1138" s="27" t="s">
        <v>2804</v>
      </c>
      <c r="B1138" s="22" t="s">
        <v>2444</v>
      </c>
      <c r="C1138" s="4" t="s">
        <v>58</v>
      </c>
      <c r="D1138" s="22" t="s">
        <v>2444</v>
      </c>
      <c r="E1138" s="22" t="s">
        <v>100</v>
      </c>
      <c r="F1138" s="22">
        <v>25</v>
      </c>
      <c r="G1138" s="22" t="s">
        <v>225</v>
      </c>
      <c r="H1138" s="5">
        <v>6517.8571428571413</v>
      </c>
      <c r="I1138" s="49" t="s">
        <v>681</v>
      </c>
      <c r="J1138" s="5" t="s">
        <v>102</v>
      </c>
    </row>
    <row r="1139" spans="1:10" ht="30">
      <c r="A1139" s="27" t="s">
        <v>2805</v>
      </c>
      <c r="B1139" s="22" t="s">
        <v>2348</v>
      </c>
      <c r="C1139" s="4" t="s">
        <v>58</v>
      </c>
      <c r="D1139" s="22" t="s">
        <v>2348</v>
      </c>
      <c r="E1139" s="22" t="s">
        <v>100</v>
      </c>
      <c r="F1139" s="22">
        <v>25</v>
      </c>
      <c r="G1139" s="22" t="s">
        <v>225</v>
      </c>
      <c r="H1139" s="5">
        <v>19308.03571428571</v>
      </c>
      <c r="I1139" s="49" t="s">
        <v>681</v>
      </c>
      <c r="J1139" s="5" t="s">
        <v>102</v>
      </c>
    </row>
    <row r="1140" spans="1:10" ht="30">
      <c r="A1140" s="27" t="s">
        <v>2806</v>
      </c>
      <c r="B1140" s="22" t="s">
        <v>2551</v>
      </c>
      <c r="C1140" s="4" t="s">
        <v>58</v>
      </c>
      <c r="D1140" s="22" t="s">
        <v>2551</v>
      </c>
      <c r="E1140" s="22" t="s">
        <v>100</v>
      </c>
      <c r="F1140" s="22">
        <v>10</v>
      </c>
      <c r="G1140" s="22" t="s">
        <v>225</v>
      </c>
      <c r="H1140" s="5">
        <v>580.35714285714278</v>
      </c>
      <c r="I1140" s="49" t="s">
        <v>681</v>
      </c>
      <c r="J1140" s="5" t="s">
        <v>102</v>
      </c>
    </row>
    <row r="1141" spans="1:10" ht="45">
      <c r="A1141" s="27" t="s">
        <v>2807</v>
      </c>
      <c r="B1141" s="17" t="s">
        <v>603</v>
      </c>
      <c r="C1141" s="4" t="s">
        <v>58</v>
      </c>
      <c r="D1141" s="22" t="s">
        <v>2350</v>
      </c>
      <c r="E1141" s="22" t="s">
        <v>604</v>
      </c>
      <c r="F1141" s="22">
        <v>51</v>
      </c>
      <c r="G1141" s="22" t="s">
        <v>226</v>
      </c>
      <c r="H1141" s="5">
        <v>60714.28571428571</v>
      </c>
      <c r="I1141" s="49" t="s">
        <v>681</v>
      </c>
      <c r="J1141" s="5" t="s">
        <v>102</v>
      </c>
    </row>
    <row r="1142" spans="1:10" ht="30">
      <c r="A1142" s="27" t="s">
        <v>2808</v>
      </c>
      <c r="B1142" s="22" t="s">
        <v>2355</v>
      </c>
      <c r="C1142" s="4" t="s">
        <v>58</v>
      </c>
      <c r="D1142" s="22" t="s">
        <v>2358</v>
      </c>
      <c r="E1142" s="22" t="s">
        <v>100</v>
      </c>
      <c r="F1142" s="22">
        <v>2</v>
      </c>
      <c r="G1142" s="22" t="s">
        <v>226</v>
      </c>
      <c r="H1142" s="5">
        <v>1060.7142857142856</v>
      </c>
      <c r="I1142" s="49" t="s">
        <v>681</v>
      </c>
      <c r="J1142" s="5" t="s">
        <v>102</v>
      </c>
    </row>
    <row r="1143" spans="1:10" ht="30">
      <c r="A1143" s="27" t="s">
        <v>2809</v>
      </c>
      <c r="B1143" s="22" t="s">
        <v>2458</v>
      </c>
      <c r="C1143" s="4" t="s">
        <v>58</v>
      </c>
      <c r="D1143" s="22" t="s">
        <v>2459</v>
      </c>
      <c r="E1143" s="22" t="s">
        <v>100</v>
      </c>
      <c r="F1143" s="22">
        <v>2</v>
      </c>
      <c r="G1143" s="22" t="s">
        <v>226</v>
      </c>
      <c r="H1143" s="5">
        <v>642.85714285714278</v>
      </c>
      <c r="I1143" s="49" t="s">
        <v>681</v>
      </c>
      <c r="J1143" s="5" t="s">
        <v>102</v>
      </c>
    </row>
    <row r="1144" spans="1:10" ht="30">
      <c r="A1144" s="27" t="s">
        <v>2810</v>
      </c>
      <c r="B1144" s="22" t="s">
        <v>2362</v>
      </c>
      <c r="C1144" s="4" t="s">
        <v>58</v>
      </c>
      <c r="D1144" s="22" t="s">
        <v>2363</v>
      </c>
      <c r="E1144" s="22" t="s">
        <v>100</v>
      </c>
      <c r="F1144" s="22">
        <v>100</v>
      </c>
      <c r="G1144" s="22" t="s">
        <v>226</v>
      </c>
      <c r="H1144" s="5">
        <v>2678.5714285714284</v>
      </c>
      <c r="I1144" s="49" t="s">
        <v>681</v>
      </c>
      <c r="J1144" s="5" t="s">
        <v>102</v>
      </c>
    </row>
    <row r="1145" spans="1:10" ht="30">
      <c r="A1145" s="27" t="s">
        <v>2811</v>
      </c>
      <c r="B1145" s="22" t="s">
        <v>2388</v>
      </c>
      <c r="C1145" s="4" t="s">
        <v>58</v>
      </c>
      <c r="D1145" s="22" t="s">
        <v>2389</v>
      </c>
      <c r="E1145" s="22" t="s">
        <v>100</v>
      </c>
      <c r="F1145" s="22">
        <v>100</v>
      </c>
      <c r="G1145" s="22" t="s">
        <v>226</v>
      </c>
      <c r="H1145" s="5">
        <v>1285.7142857142856</v>
      </c>
      <c r="I1145" s="49" t="s">
        <v>681</v>
      </c>
      <c r="J1145" s="5" t="s">
        <v>102</v>
      </c>
    </row>
    <row r="1146" spans="1:10" ht="30">
      <c r="A1146" s="27" t="s">
        <v>2812</v>
      </c>
      <c r="B1146" s="17" t="s">
        <v>2276</v>
      </c>
      <c r="C1146" s="4" t="s">
        <v>58</v>
      </c>
      <c r="D1146" s="22" t="s">
        <v>2315</v>
      </c>
      <c r="E1146" s="22" t="s">
        <v>2316</v>
      </c>
      <c r="F1146" s="22">
        <v>1</v>
      </c>
      <c r="G1146" s="22" t="s">
        <v>226</v>
      </c>
      <c r="H1146" s="5">
        <v>1499.9999999999998</v>
      </c>
      <c r="I1146" s="49" t="s">
        <v>681</v>
      </c>
      <c r="J1146" s="5" t="s">
        <v>102</v>
      </c>
    </row>
    <row r="1147" spans="1:10" ht="30">
      <c r="A1147" s="27" t="s">
        <v>2813</v>
      </c>
      <c r="B1147" s="22" t="s">
        <v>2180</v>
      </c>
      <c r="C1147" s="4" t="s">
        <v>58</v>
      </c>
      <c r="D1147" s="22" t="s">
        <v>2318</v>
      </c>
      <c r="E1147" s="22" t="s">
        <v>100</v>
      </c>
      <c r="F1147" s="22">
        <v>60</v>
      </c>
      <c r="G1147" s="22" t="s">
        <v>226</v>
      </c>
      <c r="H1147" s="5">
        <v>4017.8571428571427</v>
      </c>
      <c r="I1147" s="49" t="s">
        <v>681</v>
      </c>
      <c r="J1147" s="5" t="s">
        <v>102</v>
      </c>
    </row>
    <row r="1148" spans="1:10" ht="30">
      <c r="A1148" s="27" t="s">
        <v>2814</v>
      </c>
      <c r="B1148" s="22" t="s">
        <v>2280</v>
      </c>
      <c r="C1148" s="4" t="s">
        <v>58</v>
      </c>
      <c r="D1148" s="22" t="s">
        <v>2280</v>
      </c>
      <c r="E1148" s="22" t="s">
        <v>100</v>
      </c>
      <c r="F1148" s="22">
        <v>10</v>
      </c>
      <c r="G1148" s="22" t="s">
        <v>226</v>
      </c>
      <c r="H1148" s="5">
        <v>2839.2857142857138</v>
      </c>
      <c r="I1148" s="49" t="s">
        <v>681</v>
      </c>
      <c r="J1148" s="5" t="s">
        <v>102</v>
      </c>
    </row>
    <row r="1149" spans="1:10" ht="30">
      <c r="A1149" s="27" t="s">
        <v>2815</v>
      </c>
      <c r="B1149" s="22" t="s">
        <v>2305</v>
      </c>
      <c r="C1149" s="4" t="s">
        <v>58</v>
      </c>
      <c r="D1149" s="22" t="s">
        <v>2305</v>
      </c>
      <c r="E1149" s="22" t="s">
        <v>604</v>
      </c>
      <c r="F1149" s="22">
        <v>10</v>
      </c>
      <c r="G1149" s="22" t="s">
        <v>226</v>
      </c>
      <c r="H1149" s="5">
        <v>1982.1428571428569</v>
      </c>
      <c r="I1149" s="49" t="s">
        <v>681</v>
      </c>
      <c r="J1149" s="5" t="s">
        <v>102</v>
      </c>
    </row>
    <row r="1150" spans="1:10" ht="30">
      <c r="A1150" s="27" t="s">
        <v>2816</v>
      </c>
      <c r="B1150" s="22" t="s">
        <v>2203</v>
      </c>
      <c r="C1150" s="4" t="s">
        <v>58</v>
      </c>
      <c r="D1150" s="22" t="s">
        <v>2204</v>
      </c>
      <c r="E1150" s="22" t="s">
        <v>100</v>
      </c>
      <c r="F1150" s="22">
        <v>15</v>
      </c>
      <c r="G1150" s="22" t="s">
        <v>226</v>
      </c>
      <c r="H1150" s="5">
        <v>2249.9999999999995</v>
      </c>
      <c r="I1150" s="49" t="s">
        <v>681</v>
      </c>
      <c r="J1150" s="5" t="s">
        <v>102</v>
      </c>
    </row>
    <row r="1151" spans="1:10" ht="30">
      <c r="A1151" s="27" t="s">
        <v>2817</v>
      </c>
      <c r="B1151" s="22" t="s">
        <v>2332</v>
      </c>
      <c r="C1151" s="4" t="s">
        <v>58</v>
      </c>
      <c r="D1151" s="22" t="s">
        <v>2333</v>
      </c>
      <c r="E1151" s="22" t="s">
        <v>100</v>
      </c>
      <c r="F1151" s="22">
        <v>50</v>
      </c>
      <c r="G1151" s="22" t="s">
        <v>226</v>
      </c>
      <c r="H1151" s="5">
        <v>4285.7142857142853</v>
      </c>
      <c r="I1151" s="49" t="s">
        <v>681</v>
      </c>
      <c r="J1151" s="5" t="s">
        <v>102</v>
      </c>
    </row>
    <row r="1152" spans="1:10" ht="30">
      <c r="A1152" s="27" t="s">
        <v>2818</v>
      </c>
      <c r="B1152" s="22" t="s">
        <v>2335</v>
      </c>
      <c r="C1152" s="4" t="s">
        <v>58</v>
      </c>
      <c r="D1152" s="22" t="s">
        <v>2336</v>
      </c>
      <c r="E1152" s="22" t="s">
        <v>100</v>
      </c>
      <c r="F1152" s="22">
        <v>30</v>
      </c>
      <c r="G1152" s="22" t="s">
        <v>226</v>
      </c>
      <c r="H1152" s="5">
        <v>7098.2142857142853</v>
      </c>
      <c r="I1152" s="49" t="s">
        <v>681</v>
      </c>
      <c r="J1152" s="5" t="s">
        <v>102</v>
      </c>
    </row>
    <row r="1153" spans="1:10" ht="30">
      <c r="A1153" s="27" t="s">
        <v>2819</v>
      </c>
      <c r="B1153" s="22" t="s">
        <v>443</v>
      </c>
      <c r="C1153" s="4" t="s">
        <v>58</v>
      </c>
      <c r="D1153" s="22" t="s">
        <v>2215</v>
      </c>
      <c r="E1153" s="22" t="s">
        <v>100</v>
      </c>
      <c r="F1153" s="22">
        <v>10</v>
      </c>
      <c r="G1153" s="22" t="s">
        <v>226</v>
      </c>
      <c r="H1153" s="5">
        <v>1446.4285714285713</v>
      </c>
      <c r="I1153" s="49" t="s">
        <v>681</v>
      </c>
      <c r="J1153" s="5" t="s">
        <v>102</v>
      </c>
    </row>
    <row r="1154" spans="1:10" ht="30">
      <c r="A1154" s="27" t="s">
        <v>2820</v>
      </c>
      <c r="B1154" s="22" t="s">
        <v>395</v>
      </c>
      <c r="C1154" s="4" t="s">
        <v>58</v>
      </c>
      <c r="D1154" s="22" t="s">
        <v>2372</v>
      </c>
      <c r="E1154" s="22" t="s">
        <v>100</v>
      </c>
      <c r="F1154" s="22">
        <v>30</v>
      </c>
      <c r="G1154" s="22" t="s">
        <v>226</v>
      </c>
      <c r="H1154" s="5">
        <v>12696.428571428571</v>
      </c>
      <c r="I1154" s="49" t="s">
        <v>681</v>
      </c>
      <c r="J1154" s="5" t="s">
        <v>102</v>
      </c>
    </row>
    <row r="1155" spans="1:10" ht="30">
      <c r="A1155" s="27" t="s">
        <v>2821</v>
      </c>
      <c r="B1155" s="22" t="s">
        <v>395</v>
      </c>
      <c r="C1155" s="4" t="s">
        <v>58</v>
      </c>
      <c r="D1155" s="22" t="s">
        <v>2374</v>
      </c>
      <c r="E1155" s="22" t="s">
        <v>100</v>
      </c>
      <c r="F1155" s="22">
        <v>30</v>
      </c>
      <c r="G1155" s="22" t="s">
        <v>226</v>
      </c>
      <c r="H1155" s="5">
        <v>7714.2857142857138</v>
      </c>
      <c r="I1155" s="49" t="s">
        <v>681</v>
      </c>
      <c r="J1155" s="5" t="s">
        <v>102</v>
      </c>
    </row>
    <row r="1156" spans="1:10" ht="30">
      <c r="A1156" s="27" t="s">
        <v>2822</v>
      </c>
      <c r="B1156" s="22" t="s">
        <v>2531</v>
      </c>
      <c r="C1156" s="4" t="s">
        <v>58</v>
      </c>
      <c r="D1156" s="22" t="s">
        <v>2296</v>
      </c>
      <c r="E1156" s="22" t="s">
        <v>100</v>
      </c>
      <c r="F1156" s="22">
        <v>20</v>
      </c>
      <c r="G1156" s="22" t="s">
        <v>226</v>
      </c>
      <c r="H1156" s="5">
        <v>10535.714285714284</v>
      </c>
      <c r="I1156" s="49" t="s">
        <v>681</v>
      </c>
      <c r="J1156" s="5" t="s">
        <v>102</v>
      </c>
    </row>
    <row r="1157" spans="1:10" ht="30">
      <c r="A1157" s="27" t="s">
        <v>2823</v>
      </c>
      <c r="B1157" s="22" t="s">
        <v>2348</v>
      </c>
      <c r="C1157" s="4" t="s">
        <v>58</v>
      </c>
      <c r="D1157" s="22" t="s">
        <v>2348</v>
      </c>
      <c r="E1157" s="22" t="s">
        <v>100</v>
      </c>
      <c r="F1157" s="22">
        <v>15</v>
      </c>
      <c r="G1157" s="22" t="s">
        <v>226</v>
      </c>
      <c r="H1157" s="5">
        <v>11584.821428571428</v>
      </c>
      <c r="I1157" s="49" t="s">
        <v>681</v>
      </c>
      <c r="J1157" s="5" t="s">
        <v>102</v>
      </c>
    </row>
    <row r="1158" spans="1:10" ht="45">
      <c r="A1158" s="27" t="s">
        <v>2824</v>
      </c>
      <c r="B1158" s="17" t="s">
        <v>2310</v>
      </c>
      <c r="C1158" s="4" t="s">
        <v>58</v>
      </c>
      <c r="D1158" s="22" t="s">
        <v>2350</v>
      </c>
      <c r="E1158" s="22" t="s">
        <v>604</v>
      </c>
      <c r="F1158" s="22">
        <v>125</v>
      </c>
      <c r="G1158" s="22" t="s">
        <v>227</v>
      </c>
      <c r="H1158" s="5">
        <v>149508.92857142855</v>
      </c>
      <c r="I1158" s="49" t="s">
        <v>681</v>
      </c>
      <c r="J1158" s="5" t="s">
        <v>102</v>
      </c>
    </row>
    <row r="1159" spans="1:10" ht="30">
      <c r="A1159" s="27" t="s">
        <v>2825</v>
      </c>
      <c r="B1159" s="22" t="s">
        <v>2352</v>
      </c>
      <c r="C1159" s="4" t="s">
        <v>58</v>
      </c>
      <c r="D1159" s="22" t="s">
        <v>2353</v>
      </c>
      <c r="E1159" s="22" t="s">
        <v>100</v>
      </c>
      <c r="F1159" s="22">
        <v>10</v>
      </c>
      <c r="G1159" s="22" t="s">
        <v>227</v>
      </c>
      <c r="H1159" s="5">
        <v>589.28571428571422</v>
      </c>
      <c r="I1159" s="49" t="s">
        <v>681</v>
      </c>
      <c r="J1159" s="5" t="s">
        <v>102</v>
      </c>
    </row>
    <row r="1160" spans="1:10" ht="30">
      <c r="A1160" s="27" t="s">
        <v>2826</v>
      </c>
      <c r="B1160" s="17" t="s">
        <v>2355</v>
      </c>
      <c r="C1160" s="4" t="s">
        <v>58</v>
      </c>
      <c r="D1160" s="22" t="s">
        <v>2356</v>
      </c>
      <c r="E1160" s="22" t="s">
        <v>100</v>
      </c>
      <c r="F1160" s="22">
        <v>9</v>
      </c>
      <c r="G1160" s="22" t="s">
        <v>227</v>
      </c>
      <c r="H1160" s="5">
        <v>6685.7142857142853</v>
      </c>
      <c r="I1160" s="49" t="s">
        <v>681</v>
      </c>
      <c r="J1160" s="5" t="s">
        <v>102</v>
      </c>
    </row>
    <row r="1161" spans="1:10" ht="30">
      <c r="A1161" s="27" t="s">
        <v>2827</v>
      </c>
      <c r="B1161" s="22" t="s">
        <v>2458</v>
      </c>
      <c r="C1161" s="4" t="s">
        <v>58</v>
      </c>
      <c r="D1161" s="22" t="s">
        <v>2459</v>
      </c>
      <c r="E1161" s="22" t="s">
        <v>100</v>
      </c>
      <c r="F1161" s="22">
        <v>1</v>
      </c>
      <c r="G1161" s="22" t="s">
        <v>227</v>
      </c>
      <c r="H1161" s="5">
        <v>321.42857142857139</v>
      </c>
      <c r="I1161" s="49" t="s">
        <v>681</v>
      </c>
      <c r="J1161" s="5" t="s">
        <v>102</v>
      </c>
    </row>
    <row r="1162" spans="1:10" ht="30">
      <c r="A1162" s="27" t="s">
        <v>2828</v>
      </c>
      <c r="B1162" s="22" t="s">
        <v>2461</v>
      </c>
      <c r="C1162" s="4" t="s">
        <v>58</v>
      </c>
      <c r="D1162" s="22" t="s">
        <v>2462</v>
      </c>
      <c r="E1162" s="22" t="s">
        <v>100</v>
      </c>
      <c r="F1162" s="22">
        <v>1</v>
      </c>
      <c r="G1162" s="22" t="s">
        <v>227</v>
      </c>
      <c r="H1162" s="5">
        <v>321.42857142857139</v>
      </c>
      <c r="I1162" s="49" t="s">
        <v>681</v>
      </c>
      <c r="J1162" s="5" t="s">
        <v>102</v>
      </c>
    </row>
    <row r="1163" spans="1:10" ht="30">
      <c r="A1163" s="27" t="s">
        <v>2829</v>
      </c>
      <c r="B1163" s="22" t="s">
        <v>397</v>
      </c>
      <c r="C1163" s="4" t="s">
        <v>58</v>
      </c>
      <c r="D1163" s="22" t="s">
        <v>2360</v>
      </c>
      <c r="E1163" s="22" t="s">
        <v>100</v>
      </c>
      <c r="F1163" s="22">
        <v>8</v>
      </c>
      <c r="G1163" s="22" t="s">
        <v>227</v>
      </c>
      <c r="H1163" s="5">
        <v>5742.8571428571422</v>
      </c>
      <c r="I1163" s="49" t="s">
        <v>681</v>
      </c>
      <c r="J1163" s="5" t="s">
        <v>102</v>
      </c>
    </row>
    <row r="1164" spans="1:10" ht="30">
      <c r="A1164" s="27" t="s">
        <v>2830</v>
      </c>
      <c r="B1164" s="22" t="s">
        <v>2362</v>
      </c>
      <c r="C1164" s="4" t="s">
        <v>58</v>
      </c>
      <c r="D1164" s="22" t="s">
        <v>2363</v>
      </c>
      <c r="E1164" s="22" t="s">
        <v>100</v>
      </c>
      <c r="F1164" s="22">
        <v>130</v>
      </c>
      <c r="G1164" s="22" t="s">
        <v>227</v>
      </c>
      <c r="H1164" s="5">
        <v>3482.1428571428569</v>
      </c>
      <c r="I1164" s="49" t="s">
        <v>681</v>
      </c>
      <c r="J1164" s="5" t="s">
        <v>102</v>
      </c>
    </row>
    <row r="1165" spans="1:10" ht="30">
      <c r="A1165" s="27" t="s">
        <v>2831</v>
      </c>
      <c r="B1165" s="22" t="s">
        <v>2388</v>
      </c>
      <c r="C1165" s="4" t="s">
        <v>58</v>
      </c>
      <c r="D1165" s="22" t="s">
        <v>2389</v>
      </c>
      <c r="E1165" s="22" t="s">
        <v>100</v>
      </c>
      <c r="F1165" s="22">
        <v>30</v>
      </c>
      <c r="G1165" s="22" t="s">
        <v>227</v>
      </c>
      <c r="H1165" s="5">
        <v>385.71428571428567</v>
      </c>
      <c r="I1165" s="49" t="s">
        <v>681</v>
      </c>
      <c r="J1165" s="5" t="s">
        <v>102</v>
      </c>
    </row>
    <row r="1166" spans="1:10" ht="30">
      <c r="A1166" s="27" t="s">
        <v>2832</v>
      </c>
      <c r="B1166" s="22" t="s">
        <v>2313</v>
      </c>
      <c r="C1166" s="4" t="s">
        <v>58</v>
      </c>
      <c r="D1166" s="22" t="s">
        <v>2313</v>
      </c>
      <c r="E1166" s="22" t="s">
        <v>100</v>
      </c>
      <c r="F1166" s="22">
        <v>70</v>
      </c>
      <c r="G1166" s="22" t="s">
        <v>227</v>
      </c>
      <c r="H1166" s="5">
        <v>2499.9999999999995</v>
      </c>
      <c r="I1166" s="49" t="s">
        <v>681</v>
      </c>
      <c r="J1166" s="5" t="s">
        <v>102</v>
      </c>
    </row>
    <row r="1167" spans="1:10" ht="30">
      <c r="A1167" s="27" t="s">
        <v>2833</v>
      </c>
      <c r="B1167" s="17" t="s">
        <v>2276</v>
      </c>
      <c r="C1167" s="4" t="s">
        <v>58</v>
      </c>
      <c r="D1167" s="22" t="s">
        <v>2315</v>
      </c>
      <c r="E1167" s="22" t="s">
        <v>2316</v>
      </c>
      <c r="F1167" s="22">
        <v>4</v>
      </c>
      <c r="G1167" s="22" t="s">
        <v>227</v>
      </c>
      <c r="H1167" s="5">
        <v>3749.9999999999995</v>
      </c>
      <c r="I1167" s="49" t="s">
        <v>681</v>
      </c>
      <c r="J1167" s="5" t="s">
        <v>102</v>
      </c>
    </row>
    <row r="1168" spans="1:10" ht="30">
      <c r="A1168" s="27" t="s">
        <v>2834</v>
      </c>
      <c r="B1168" s="22" t="s">
        <v>2180</v>
      </c>
      <c r="C1168" s="4" t="s">
        <v>58</v>
      </c>
      <c r="D1168" s="22" t="s">
        <v>2318</v>
      </c>
      <c r="E1168" s="22" t="s">
        <v>100</v>
      </c>
      <c r="F1168" s="22">
        <v>200</v>
      </c>
      <c r="G1168" s="22" t="s">
        <v>227</v>
      </c>
      <c r="H1168" s="5">
        <v>13392.857142857141</v>
      </c>
      <c r="I1168" s="49" t="s">
        <v>681</v>
      </c>
      <c r="J1168" s="5" t="s">
        <v>102</v>
      </c>
    </row>
    <row r="1169" spans="1:10" ht="30">
      <c r="A1169" s="27" t="s">
        <v>2835</v>
      </c>
      <c r="B1169" s="22" t="s">
        <v>1253</v>
      </c>
      <c r="C1169" s="4" t="s">
        <v>58</v>
      </c>
      <c r="D1169" s="22" t="s">
        <v>2320</v>
      </c>
      <c r="E1169" s="22" t="s">
        <v>100</v>
      </c>
      <c r="F1169" s="22">
        <v>16</v>
      </c>
      <c r="G1169" s="22" t="s">
        <v>227</v>
      </c>
      <c r="H1169" s="5">
        <v>4371.4285714285706</v>
      </c>
      <c r="I1169" s="49" t="s">
        <v>681</v>
      </c>
      <c r="J1169" s="5" t="s">
        <v>102</v>
      </c>
    </row>
    <row r="1170" spans="1:10" ht="30">
      <c r="A1170" s="27" t="s">
        <v>2836</v>
      </c>
      <c r="B1170" s="22" t="s">
        <v>2396</v>
      </c>
      <c r="C1170" s="4" t="s">
        <v>58</v>
      </c>
      <c r="D1170" s="22" t="s">
        <v>2396</v>
      </c>
      <c r="E1170" s="22" t="s">
        <v>100</v>
      </c>
      <c r="F1170" s="22">
        <v>30</v>
      </c>
      <c r="G1170" s="22" t="s">
        <v>227</v>
      </c>
      <c r="H1170" s="5">
        <v>2732.1428571428569</v>
      </c>
      <c r="I1170" s="49" t="s">
        <v>681</v>
      </c>
      <c r="J1170" s="5" t="s">
        <v>102</v>
      </c>
    </row>
    <row r="1171" spans="1:10" ht="30">
      <c r="A1171" s="27" t="s">
        <v>2837</v>
      </c>
      <c r="B1171" s="22" t="s">
        <v>2326</v>
      </c>
      <c r="C1171" s="4" t="s">
        <v>58</v>
      </c>
      <c r="D1171" s="22" t="s">
        <v>2326</v>
      </c>
      <c r="E1171" s="22" t="s">
        <v>100</v>
      </c>
      <c r="F1171" s="22">
        <v>23</v>
      </c>
      <c r="G1171" s="22" t="s">
        <v>227</v>
      </c>
      <c r="H1171" s="5">
        <v>295.71428571428567</v>
      </c>
      <c r="I1171" s="49" t="s">
        <v>681</v>
      </c>
      <c r="J1171" s="5" t="s">
        <v>102</v>
      </c>
    </row>
    <row r="1172" spans="1:10" ht="30">
      <c r="A1172" s="27" t="s">
        <v>2838</v>
      </c>
      <c r="B1172" s="22" t="s">
        <v>2208</v>
      </c>
      <c r="C1172" s="4" t="s">
        <v>58</v>
      </c>
      <c r="D1172" s="22" t="s">
        <v>2208</v>
      </c>
      <c r="E1172" s="22" t="s">
        <v>100</v>
      </c>
      <c r="F1172" s="22">
        <v>5</v>
      </c>
      <c r="G1172" s="22" t="s">
        <v>227</v>
      </c>
      <c r="H1172" s="5">
        <v>214.28571428571428</v>
      </c>
      <c r="I1172" s="49" t="s">
        <v>681</v>
      </c>
      <c r="J1172" s="5" t="s">
        <v>102</v>
      </c>
    </row>
    <row r="1173" spans="1:10" ht="30">
      <c r="A1173" s="27" t="s">
        <v>2839</v>
      </c>
      <c r="B1173" s="22" t="s">
        <v>2505</v>
      </c>
      <c r="C1173" s="4" t="s">
        <v>58</v>
      </c>
      <c r="D1173" s="22" t="s">
        <v>2506</v>
      </c>
      <c r="E1173" s="22" t="s">
        <v>100</v>
      </c>
      <c r="F1173" s="22">
        <v>10</v>
      </c>
      <c r="G1173" s="22" t="s">
        <v>227</v>
      </c>
      <c r="H1173" s="5">
        <v>749.99999999999989</v>
      </c>
      <c r="I1173" s="49" t="s">
        <v>681</v>
      </c>
      <c r="J1173" s="5" t="s">
        <v>102</v>
      </c>
    </row>
    <row r="1174" spans="1:10" ht="30">
      <c r="A1174" s="27" t="s">
        <v>2840</v>
      </c>
      <c r="B1174" s="22" t="s">
        <v>2280</v>
      </c>
      <c r="C1174" s="4" t="s">
        <v>58</v>
      </c>
      <c r="D1174" s="22" t="s">
        <v>2280</v>
      </c>
      <c r="E1174" s="22" t="s">
        <v>100</v>
      </c>
      <c r="F1174" s="22">
        <v>5</v>
      </c>
      <c r="G1174" s="22" t="s">
        <v>227</v>
      </c>
      <c r="H1174" s="5">
        <v>1419.6428571428569</v>
      </c>
      <c r="I1174" s="49" t="s">
        <v>681</v>
      </c>
      <c r="J1174" s="5" t="s">
        <v>102</v>
      </c>
    </row>
    <row r="1175" spans="1:10" ht="30">
      <c r="A1175" s="27" t="s">
        <v>2841</v>
      </c>
      <c r="B1175" s="22" t="s">
        <v>2403</v>
      </c>
      <c r="C1175" s="4" t="s">
        <v>58</v>
      </c>
      <c r="D1175" s="22" t="s">
        <v>2403</v>
      </c>
      <c r="E1175" s="22" t="s">
        <v>100</v>
      </c>
      <c r="F1175" s="22">
        <v>10</v>
      </c>
      <c r="G1175" s="22" t="s">
        <v>227</v>
      </c>
      <c r="H1175" s="5">
        <v>1767.8571428571427</v>
      </c>
      <c r="I1175" s="49" t="s">
        <v>681</v>
      </c>
      <c r="J1175" s="5" t="s">
        <v>102</v>
      </c>
    </row>
    <row r="1176" spans="1:10" ht="30">
      <c r="A1176" s="27" t="s">
        <v>2842</v>
      </c>
      <c r="B1176" s="22" t="s">
        <v>2305</v>
      </c>
      <c r="C1176" s="4" t="s">
        <v>58</v>
      </c>
      <c r="D1176" s="22" t="s">
        <v>2305</v>
      </c>
      <c r="E1176" s="22" t="s">
        <v>604</v>
      </c>
      <c r="F1176" s="22">
        <v>50</v>
      </c>
      <c r="G1176" s="22" t="s">
        <v>227</v>
      </c>
      <c r="H1176" s="5">
        <v>9910.7142857142844</v>
      </c>
      <c r="I1176" s="49" t="s">
        <v>681</v>
      </c>
      <c r="J1176" s="5" t="s">
        <v>102</v>
      </c>
    </row>
    <row r="1177" spans="1:10" ht="30">
      <c r="A1177" s="27" t="s">
        <v>2843</v>
      </c>
      <c r="B1177" s="22" t="s">
        <v>2238</v>
      </c>
      <c r="C1177" s="4" t="s">
        <v>58</v>
      </c>
      <c r="D1177" s="22" t="s">
        <v>2225</v>
      </c>
      <c r="E1177" s="22" t="s">
        <v>604</v>
      </c>
      <c r="F1177" s="22">
        <v>20</v>
      </c>
      <c r="G1177" s="22" t="s">
        <v>227</v>
      </c>
      <c r="H1177" s="5">
        <v>1714.2857142857142</v>
      </c>
      <c r="I1177" s="49" t="s">
        <v>681</v>
      </c>
      <c r="J1177" s="5" t="s">
        <v>102</v>
      </c>
    </row>
    <row r="1178" spans="1:10" ht="30">
      <c r="A1178" s="27" t="s">
        <v>2844</v>
      </c>
      <c r="B1178" s="22" t="s">
        <v>2369</v>
      </c>
      <c r="C1178" s="4" t="s">
        <v>58</v>
      </c>
      <c r="D1178" s="22" t="s">
        <v>2369</v>
      </c>
      <c r="E1178" s="22" t="s">
        <v>604</v>
      </c>
      <c r="F1178" s="22">
        <v>20</v>
      </c>
      <c r="G1178" s="22" t="s">
        <v>227</v>
      </c>
      <c r="H1178" s="5">
        <v>964.28571428571422</v>
      </c>
      <c r="I1178" s="49" t="s">
        <v>681</v>
      </c>
      <c r="J1178" s="5" t="s">
        <v>102</v>
      </c>
    </row>
    <row r="1179" spans="1:10" ht="30">
      <c r="A1179" s="27" t="s">
        <v>2845</v>
      </c>
      <c r="B1179" s="22" t="s">
        <v>2203</v>
      </c>
      <c r="C1179" s="4" t="s">
        <v>58</v>
      </c>
      <c r="D1179" s="22" t="s">
        <v>2204</v>
      </c>
      <c r="E1179" s="22" t="s">
        <v>100</v>
      </c>
      <c r="F1179" s="22">
        <v>20</v>
      </c>
      <c r="G1179" s="22" t="s">
        <v>227</v>
      </c>
      <c r="H1179" s="5">
        <v>2999.9999999999995</v>
      </c>
      <c r="I1179" s="49" t="s">
        <v>681</v>
      </c>
      <c r="J1179" s="5" t="s">
        <v>102</v>
      </c>
    </row>
    <row r="1180" spans="1:10" ht="30">
      <c r="A1180" s="27" t="s">
        <v>2846</v>
      </c>
      <c r="B1180" s="22" t="s">
        <v>2650</v>
      </c>
      <c r="C1180" s="4" t="s">
        <v>58</v>
      </c>
      <c r="D1180" s="22" t="s">
        <v>2651</v>
      </c>
      <c r="E1180" s="22" t="s">
        <v>100</v>
      </c>
      <c r="F1180" s="22">
        <v>5</v>
      </c>
      <c r="G1180" s="22" t="s">
        <v>227</v>
      </c>
      <c r="H1180" s="5">
        <v>2120.5357142857142</v>
      </c>
      <c r="I1180" s="49" t="s">
        <v>681</v>
      </c>
      <c r="J1180" s="5" t="s">
        <v>102</v>
      </c>
    </row>
    <row r="1181" spans="1:10" ht="30">
      <c r="A1181" s="27" t="s">
        <v>2847</v>
      </c>
      <c r="B1181" s="22" t="s">
        <v>2335</v>
      </c>
      <c r="C1181" s="4" t="s">
        <v>58</v>
      </c>
      <c r="D1181" s="22" t="s">
        <v>2336</v>
      </c>
      <c r="E1181" s="22" t="s">
        <v>100</v>
      </c>
      <c r="F1181" s="22">
        <v>20</v>
      </c>
      <c r="G1181" s="22" t="s">
        <v>227</v>
      </c>
      <c r="H1181" s="5">
        <v>4732.1428571428569</v>
      </c>
      <c r="I1181" s="49" t="s">
        <v>681</v>
      </c>
      <c r="J1181" s="5" t="s">
        <v>102</v>
      </c>
    </row>
    <row r="1182" spans="1:10" ht="30">
      <c r="A1182" s="27" t="s">
        <v>2848</v>
      </c>
      <c r="B1182" s="22" t="s">
        <v>443</v>
      </c>
      <c r="C1182" s="4" t="s">
        <v>58</v>
      </c>
      <c r="D1182" s="22" t="s">
        <v>2215</v>
      </c>
      <c r="E1182" s="22" t="s">
        <v>100</v>
      </c>
      <c r="F1182" s="22">
        <v>5</v>
      </c>
      <c r="G1182" s="22" t="s">
        <v>227</v>
      </c>
      <c r="H1182" s="5">
        <v>723.21428571428567</v>
      </c>
      <c r="I1182" s="49" t="s">
        <v>681</v>
      </c>
      <c r="J1182" s="5" t="s">
        <v>102</v>
      </c>
    </row>
    <row r="1183" spans="1:10" ht="30">
      <c r="A1183" s="27" t="s">
        <v>2849</v>
      </c>
      <c r="B1183" s="22" t="s">
        <v>2270</v>
      </c>
      <c r="C1183" s="4" t="s">
        <v>58</v>
      </c>
      <c r="D1183" s="22" t="s">
        <v>2271</v>
      </c>
      <c r="E1183" s="22" t="s">
        <v>100</v>
      </c>
      <c r="F1183" s="22">
        <v>2</v>
      </c>
      <c r="G1183" s="22" t="s">
        <v>227</v>
      </c>
      <c r="H1183" s="5">
        <v>3857.1428571428569</v>
      </c>
      <c r="I1183" s="49" t="s">
        <v>681</v>
      </c>
      <c r="J1183" s="5" t="s">
        <v>102</v>
      </c>
    </row>
    <row r="1184" spans="1:10" ht="30">
      <c r="A1184" s="27" t="s">
        <v>2850</v>
      </c>
      <c r="B1184" s="22" t="s">
        <v>395</v>
      </c>
      <c r="C1184" s="4" t="s">
        <v>58</v>
      </c>
      <c r="D1184" s="22" t="s">
        <v>2372</v>
      </c>
      <c r="E1184" s="22" t="s">
        <v>100</v>
      </c>
      <c r="F1184" s="22">
        <v>10</v>
      </c>
      <c r="G1184" s="22" t="s">
        <v>227</v>
      </c>
      <c r="H1184" s="5">
        <v>4232.1428571428569</v>
      </c>
      <c r="I1184" s="49" t="s">
        <v>681</v>
      </c>
      <c r="J1184" s="5" t="s">
        <v>102</v>
      </c>
    </row>
    <row r="1185" spans="1:10" ht="30">
      <c r="A1185" s="27" t="s">
        <v>2851</v>
      </c>
      <c r="B1185" s="22" t="s">
        <v>395</v>
      </c>
      <c r="C1185" s="4" t="s">
        <v>58</v>
      </c>
      <c r="D1185" s="22" t="s">
        <v>2374</v>
      </c>
      <c r="E1185" s="22" t="s">
        <v>100</v>
      </c>
      <c r="F1185" s="22">
        <v>5</v>
      </c>
      <c r="G1185" s="22" t="s">
        <v>227</v>
      </c>
      <c r="H1185" s="5">
        <v>1285.7142857142856</v>
      </c>
      <c r="I1185" s="49" t="s">
        <v>681</v>
      </c>
      <c r="J1185" s="5" t="s">
        <v>102</v>
      </c>
    </row>
    <row r="1186" spans="1:10" ht="30">
      <c r="A1186" s="27" t="s">
        <v>2852</v>
      </c>
      <c r="B1186" s="22" t="s">
        <v>2437</v>
      </c>
      <c r="C1186" s="4" t="s">
        <v>58</v>
      </c>
      <c r="D1186" s="22" t="s">
        <v>2438</v>
      </c>
      <c r="E1186" s="22" t="s">
        <v>100</v>
      </c>
      <c r="F1186" s="22">
        <v>5</v>
      </c>
      <c r="G1186" s="22" t="s">
        <v>227</v>
      </c>
      <c r="H1186" s="5">
        <v>937.49999999999989</v>
      </c>
      <c r="I1186" s="49" t="s">
        <v>681</v>
      </c>
      <c r="J1186" s="5" t="s">
        <v>102</v>
      </c>
    </row>
    <row r="1187" spans="1:10" ht="30">
      <c r="A1187" s="27" t="s">
        <v>2853</v>
      </c>
      <c r="B1187" s="22" t="s">
        <v>2531</v>
      </c>
      <c r="C1187" s="4" t="s">
        <v>58</v>
      </c>
      <c r="D1187" s="22" t="s">
        <v>2296</v>
      </c>
      <c r="E1187" s="22" t="s">
        <v>100</v>
      </c>
      <c r="F1187" s="22">
        <v>5</v>
      </c>
      <c r="G1187" s="22" t="s">
        <v>227</v>
      </c>
      <c r="H1187" s="5">
        <v>2633.9285714285711</v>
      </c>
      <c r="I1187" s="49" t="s">
        <v>681</v>
      </c>
      <c r="J1187" s="5" t="s">
        <v>102</v>
      </c>
    </row>
    <row r="1188" spans="1:10" ht="30">
      <c r="A1188" s="27" t="s">
        <v>2854</v>
      </c>
      <c r="B1188" s="22" t="s">
        <v>2340</v>
      </c>
      <c r="C1188" s="4" t="s">
        <v>58</v>
      </c>
      <c r="D1188" s="22" t="s">
        <v>2341</v>
      </c>
      <c r="E1188" s="22" t="s">
        <v>2342</v>
      </c>
      <c r="F1188" s="22">
        <v>5</v>
      </c>
      <c r="G1188" s="22" t="s">
        <v>227</v>
      </c>
      <c r="H1188" s="5">
        <v>1124.9999999999998</v>
      </c>
      <c r="I1188" s="49" t="s">
        <v>681</v>
      </c>
      <c r="J1188" s="5" t="s">
        <v>102</v>
      </c>
    </row>
    <row r="1189" spans="1:10" ht="30">
      <c r="A1189" s="27" t="s">
        <v>2855</v>
      </c>
      <c r="B1189" s="22" t="s">
        <v>2440</v>
      </c>
      <c r="C1189" s="4" t="s">
        <v>58</v>
      </c>
      <c r="D1189" s="22" t="s">
        <v>2440</v>
      </c>
      <c r="E1189" s="22" t="s">
        <v>100</v>
      </c>
      <c r="F1189" s="22">
        <v>10</v>
      </c>
      <c r="G1189" s="22" t="s">
        <v>227</v>
      </c>
      <c r="H1189" s="5">
        <v>5035.7142857142853</v>
      </c>
      <c r="I1189" s="49" t="s">
        <v>681</v>
      </c>
      <c r="J1189" s="5" t="s">
        <v>102</v>
      </c>
    </row>
    <row r="1190" spans="1:10" ht="30">
      <c r="A1190" s="27" t="s">
        <v>2856</v>
      </c>
      <c r="B1190" s="22" t="s">
        <v>2444</v>
      </c>
      <c r="C1190" s="4" t="s">
        <v>58</v>
      </c>
      <c r="D1190" s="22" t="s">
        <v>2444</v>
      </c>
      <c r="E1190" s="22" t="s">
        <v>100</v>
      </c>
      <c r="F1190" s="22">
        <v>10</v>
      </c>
      <c r="G1190" s="22" t="s">
        <v>227</v>
      </c>
      <c r="H1190" s="5">
        <v>2607.1428571428569</v>
      </c>
      <c r="I1190" s="49" t="s">
        <v>681</v>
      </c>
      <c r="J1190" s="5" t="s">
        <v>102</v>
      </c>
    </row>
    <row r="1191" spans="1:10" ht="30">
      <c r="A1191" s="27" t="s">
        <v>2857</v>
      </c>
      <c r="B1191" s="22" t="s">
        <v>2348</v>
      </c>
      <c r="C1191" s="4" t="s">
        <v>58</v>
      </c>
      <c r="D1191" s="22" t="s">
        <v>2348</v>
      </c>
      <c r="E1191" s="22" t="s">
        <v>100</v>
      </c>
      <c r="F1191" s="22">
        <v>10</v>
      </c>
      <c r="G1191" s="22" t="s">
        <v>227</v>
      </c>
      <c r="H1191" s="5">
        <v>7723.2142857142844</v>
      </c>
      <c r="I1191" s="49" t="s">
        <v>681</v>
      </c>
      <c r="J1191" s="5" t="s">
        <v>102</v>
      </c>
    </row>
    <row r="1192" spans="1:10" ht="30">
      <c r="A1192" s="27" t="s">
        <v>2858</v>
      </c>
      <c r="B1192" s="22" t="s">
        <v>2551</v>
      </c>
      <c r="C1192" s="4" t="s">
        <v>58</v>
      </c>
      <c r="D1192" s="22" t="s">
        <v>2551</v>
      </c>
      <c r="E1192" s="22" t="s">
        <v>100</v>
      </c>
      <c r="F1192" s="22">
        <v>80</v>
      </c>
      <c r="G1192" s="22" t="s">
        <v>227</v>
      </c>
      <c r="H1192" s="5">
        <v>4642.8571428571422</v>
      </c>
      <c r="I1192" s="49" t="s">
        <v>681</v>
      </c>
      <c r="J1192" s="5" t="s">
        <v>102</v>
      </c>
    </row>
    <row r="1193" spans="1:10" ht="30">
      <c r="A1193" s="27" t="s">
        <v>2859</v>
      </c>
      <c r="B1193" s="22" t="s">
        <v>2553</v>
      </c>
      <c r="C1193" s="4" t="s">
        <v>58</v>
      </c>
      <c r="D1193" s="22" t="s">
        <v>2553</v>
      </c>
      <c r="E1193" s="22" t="s">
        <v>100</v>
      </c>
      <c r="F1193" s="22">
        <v>40</v>
      </c>
      <c r="G1193" s="22" t="s">
        <v>227</v>
      </c>
      <c r="H1193" s="5">
        <v>2321.4285714285711</v>
      </c>
      <c r="I1193" s="49" t="s">
        <v>681</v>
      </c>
      <c r="J1193" s="5" t="s">
        <v>102</v>
      </c>
    </row>
    <row r="1194" spans="1:10" ht="45">
      <c r="A1194" s="27" t="s">
        <v>2860</v>
      </c>
      <c r="B1194" s="17" t="s">
        <v>603</v>
      </c>
      <c r="C1194" s="4" t="s">
        <v>58</v>
      </c>
      <c r="D1194" s="22" t="s">
        <v>2350</v>
      </c>
      <c r="E1194" s="22" t="s">
        <v>604</v>
      </c>
      <c r="F1194" s="22">
        <v>95</v>
      </c>
      <c r="G1194" s="22" t="s">
        <v>228</v>
      </c>
      <c r="H1194" s="5">
        <v>113839.2857142857</v>
      </c>
      <c r="I1194" s="49" t="s">
        <v>681</v>
      </c>
      <c r="J1194" s="5" t="s">
        <v>102</v>
      </c>
    </row>
    <row r="1195" spans="1:10" ht="30">
      <c r="A1195" s="27" t="s">
        <v>2861</v>
      </c>
      <c r="B1195" s="22" t="s">
        <v>2352</v>
      </c>
      <c r="C1195" s="4" t="s">
        <v>58</v>
      </c>
      <c r="D1195" s="22" t="s">
        <v>2353</v>
      </c>
      <c r="E1195" s="22" t="s">
        <v>100</v>
      </c>
      <c r="F1195" s="22">
        <v>20</v>
      </c>
      <c r="G1195" s="22" t="s">
        <v>228</v>
      </c>
      <c r="H1195" s="5">
        <v>1178.5714285714284</v>
      </c>
      <c r="I1195" s="49" t="s">
        <v>681</v>
      </c>
      <c r="J1195" s="5" t="s">
        <v>102</v>
      </c>
    </row>
    <row r="1196" spans="1:10" ht="30">
      <c r="A1196" s="27" t="s">
        <v>2862</v>
      </c>
      <c r="B1196" s="17" t="s">
        <v>2355</v>
      </c>
      <c r="C1196" s="4" t="s">
        <v>58</v>
      </c>
      <c r="D1196" s="22" t="s">
        <v>2356</v>
      </c>
      <c r="E1196" s="22" t="s">
        <v>100</v>
      </c>
      <c r="F1196" s="22">
        <v>11</v>
      </c>
      <c r="G1196" s="22" t="s">
        <v>228</v>
      </c>
      <c r="H1196" s="5">
        <v>8357.1428571428569</v>
      </c>
      <c r="I1196" s="49" t="s">
        <v>681</v>
      </c>
      <c r="J1196" s="5" t="s">
        <v>102</v>
      </c>
    </row>
    <row r="1197" spans="1:10" ht="30">
      <c r="A1197" s="27" t="s">
        <v>2863</v>
      </c>
      <c r="B1197" s="22" t="s">
        <v>2355</v>
      </c>
      <c r="C1197" s="4" t="s">
        <v>58</v>
      </c>
      <c r="D1197" s="22" t="s">
        <v>2358</v>
      </c>
      <c r="E1197" s="22" t="s">
        <v>100</v>
      </c>
      <c r="F1197" s="22">
        <v>15</v>
      </c>
      <c r="G1197" s="22" t="s">
        <v>228</v>
      </c>
      <c r="H1197" s="5">
        <v>7955.3571428571413</v>
      </c>
      <c r="I1197" s="49" t="s">
        <v>681</v>
      </c>
      <c r="J1197" s="5" t="s">
        <v>102</v>
      </c>
    </row>
    <row r="1198" spans="1:10" ht="30">
      <c r="A1198" s="27" t="s">
        <v>2864</v>
      </c>
      <c r="B1198" s="22" t="s">
        <v>2458</v>
      </c>
      <c r="C1198" s="4" t="s">
        <v>58</v>
      </c>
      <c r="D1198" s="22" t="s">
        <v>2459</v>
      </c>
      <c r="E1198" s="22" t="s">
        <v>100</v>
      </c>
      <c r="F1198" s="22">
        <v>1</v>
      </c>
      <c r="G1198" s="22" t="s">
        <v>228</v>
      </c>
      <c r="H1198" s="5">
        <v>321.42857142857139</v>
      </c>
      <c r="I1198" s="49" t="s">
        <v>681</v>
      </c>
      <c r="J1198" s="5" t="s">
        <v>102</v>
      </c>
    </row>
    <row r="1199" spans="1:10" ht="30">
      <c r="A1199" s="27" t="s">
        <v>2865</v>
      </c>
      <c r="B1199" s="22" t="s">
        <v>2461</v>
      </c>
      <c r="C1199" s="4" t="s">
        <v>58</v>
      </c>
      <c r="D1199" s="22" t="s">
        <v>2462</v>
      </c>
      <c r="E1199" s="22" t="s">
        <v>100</v>
      </c>
      <c r="F1199" s="22">
        <v>1</v>
      </c>
      <c r="G1199" s="22" t="s">
        <v>228</v>
      </c>
      <c r="H1199" s="5">
        <v>321.42857142857139</v>
      </c>
      <c r="I1199" s="49" t="s">
        <v>681</v>
      </c>
      <c r="J1199" s="5" t="s">
        <v>102</v>
      </c>
    </row>
    <row r="1200" spans="1:10" ht="30">
      <c r="A1200" s="27" t="s">
        <v>2866</v>
      </c>
      <c r="B1200" s="22" t="s">
        <v>397</v>
      </c>
      <c r="C1200" s="4" t="s">
        <v>58</v>
      </c>
      <c r="D1200" s="22" t="s">
        <v>2360</v>
      </c>
      <c r="E1200" s="22" t="s">
        <v>100</v>
      </c>
      <c r="F1200" s="22">
        <v>5</v>
      </c>
      <c r="G1200" s="22" t="s">
        <v>228</v>
      </c>
      <c r="H1200" s="5">
        <v>3589.2857142857138</v>
      </c>
      <c r="I1200" s="49" t="s">
        <v>681</v>
      </c>
      <c r="J1200" s="5" t="s">
        <v>102</v>
      </c>
    </row>
    <row r="1201" spans="1:10" ht="30">
      <c r="A1201" s="27" t="s">
        <v>2867</v>
      </c>
      <c r="B1201" s="22" t="s">
        <v>2362</v>
      </c>
      <c r="C1201" s="4" t="s">
        <v>58</v>
      </c>
      <c r="D1201" s="22" t="s">
        <v>2489</v>
      </c>
      <c r="E1201" s="22" t="s">
        <v>100</v>
      </c>
      <c r="F1201" s="22">
        <v>10</v>
      </c>
      <c r="G1201" s="22" t="s">
        <v>228</v>
      </c>
      <c r="H1201" s="5">
        <v>696.42857142857133</v>
      </c>
      <c r="I1201" s="49" t="s">
        <v>681</v>
      </c>
      <c r="J1201" s="5" t="s">
        <v>102</v>
      </c>
    </row>
    <row r="1202" spans="1:10" ht="30">
      <c r="A1202" s="27" t="s">
        <v>2868</v>
      </c>
      <c r="B1202" s="22" t="s">
        <v>2362</v>
      </c>
      <c r="C1202" s="4" t="s">
        <v>58</v>
      </c>
      <c r="D1202" s="22" t="s">
        <v>2363</v>
      </c>
      <c r="E1202" s="22" t="s">
        <v>100</v>
      </c>
      <c r="F1202" s="22">
        <v>100</v>
      </c>
      <c r="G1202" s="22" t="s">
        <v>228</v>
      </c>
      <c r="H1202" s="5">
        <v>2678.5714285714284</v>
      </c>
      <c r="I1202" s="49" t="s">
        <v>681</v>
      </c>
      <c r="J1202" s="5" t="s">
        <v>102</v>
      </c>
    </row>
    <row r="1203" spans="1:10" ht="30">
      <c r="A1203" s="27" t="s">
        <v>2869</v>
      </c>
      <c r="B1203" s="17" t="s">
        <v>2212</v>
      </c>
      <c r="C1203" s="4" t="s">
        <v>58</v>
      </c>
      <c r="D1203" s="22" t="s">
        <v>2213</v>
      </c>
      <c r="E1203" s="22" t="s">
        <v>100</v>
      </c>
      <c r="F1203" s="22">
        <v>2</v>
      </c>
      <c r="G1203" s="22" t="s">
        <v>228</v>
      </c>
      <c r="H1203" s="5">
        <v>2021.785714285714</v>
      </c>
      <c r="I1203" s="49" t="s">
        <v>681</v>
      </c>
      <c r="J1203" s="5" t="s">
        <v>102</v>
      </c>
    </row>
    <row r="1204" spans="1:10" ht="30">
      <c r="A1204" s="27" t="s">
        <v>2870</v>
      </c>
      <c r="B1204" s="17" t="s">
        <v>2212</v>
      </c>
      <c r="C1204" s="4" t="s">
        <v>58</v>
      </c>
      <c r="D1204" s="22" t="s">
        <v>2494</v>
      </c>
      <c r="E1204" s="22" t="s">
        <v>100</v>
      </c>
      <c r="F1204" s="22">
        <v>2</v>
      </c>
      <c r="G1204" s="22" t="s">
        <v>228</v>
      </c>
      <c r="H1204" s="5">
        <v>2233.9285714285716</v>
      </c>
      <c r="I1204" s="49" t="s">
        <v>681</v>
      </c>
      <c r="J1204" s="5" t="s">
        <v>102</v>
      </c>
    </row>
    <row r="1205" spans="1:10" ht="30">
      <c r="A1205" s="27" t="s">
        <v>2871</v>
      </c>
      <c r="B1205" s="22" t="s">
        <v>2313</v>
      </c>
      <c r="C1205" s="4" t="s">
        <v>58</v>
      </c>
      <c r="D1205" s="22" t="s">
        <v>2313</v>
      </c>
      <c r="E1205" s="22" t="s">
        <v>100</v>
      </c>
      <c r="F1205" s="22">
        <v>120</v>
      </c>
      <c r="G1205" s="22" t="s">
        <v>228</v>
      </c>
      <c r="H1205" s="5">
        <v>4285.7142857142853</v>
      </c>
      <c r="I1205" s="49" t="s">
        <v>681</v>
      </c>
      <c r="J1205" s="5" t="s">
        <v>102</v>
      </c>
    </row>
    <row r="1206" spans="1:10" ht="30">
      <c r="A1206" s="27" t="s">
        <v>2872</v>
      </c>
      <c r="B1206" s="22" t="s">
        <v>2276</v>
      </c>
      <c r="C1206" s="4" t="s">
        <v>58</v>
      </c>
      <c r="D1206" s="22" t="s">
        <v>2684</v>
      </c>
      <c r="E1206" s="22" t="s">
        <v>100</v>
      </c>
      <c r="F1206" s="22">
        <v>40</v>
      </c>
      <c r="G1206" s="22" t="s">
        <v>228</v>
      </c>
      <c r="H1206" s="5">
        <v>5785.7142857142853</v>
      </c>
      <c r="I1206" s="49" t="s">
        <v>681</v>
      </c>
      <c r="J1206" s="5" t="s">
        <v>102</v>
      </c>
    </row>
    <row r="1207" spans="1:10" ht="30">
      <c r="A1207" s="27" t="s">
        <v>2873</v>
      </c>
      <c r="B1207" s="17" t="s">
        <v>2276</v>
      </c>
      <c r="C1207" s="4" t="s">
        <v>58</v>
      </c>
      <c r="D1207" s="22" t="s">
        <v>2315</v>
      </c>
      <c r="E1207" s="22" t="s">
        <v>2316</v>
      </c>
      <c r="F1207" s="22">
        <v>4</v>
      </c>
      <c r="G1207" s="22" t="s">
        <v>228</v>
      </c>
      <c r="H1207" s="5">
        <v>3749.9999999999995</v>
      </c>
      <c r="I1207" s="49" t="s">
        <v>681</v>
      </c>
      <c r="J1207" s="5" t="s">
        <v>102</v>
      </c>
    </row>
    <row r="1208" spans="1:10" ht="30">
      <c r="A1208" s="27" t="s">
        <v>2874</v>
      </c>
      <c r="B1208" s="22" t="s">
        <v>2180</v>
      </c>
      <c r="C1208" s="4" t="s">
        <v>58</v>
      </c>
      <c r="D1208" s="22" t="s">
        <v>2318</v>
      </c>
      <c r="E1208" s="22" t="s">
        <v>100</v>
      </c>
      <c r="F1208" s="22">
        <v>120</v>
      </c>
      <c r="G1208" s="22" t="s">
        <v>228</v>
      </c>
      <c r="H1208" s="5">
        <v>8035.7142857142853</v>
      </c>
      <c r="I1208" s="49" t="s">
        <v>681</v>
      </c>
      <c r="J1208" s="5" t="s">
        <v>102</v>
      </c>
    </row>
    <row r="1209" spans="1:10" ht="30">
      <c r="A1209" s="27" t="s">
        <v>2875</v>
      </c>
      <c r="B1209" s="22" t="s">
        <v>2180</v>
      </c>
      <c r="C1209" s="4" t="s">
        <v>58</v>
      </c>
      <c r="D1209" s="22" t="s">
        <v>2393</v>
      </c>
      <c r="E1209" s="22" t="s">
        <v>100</v>
      </c>
      <c r="F1209" s="22">
        <v>90</v>
      </c>
      <c r="G1209" s="22" t="s">
        <v>228</v>
      </c>
      <c r="H1209" s="5">
        <v>8999.9999999999982</v>
      </c>
      <c r="I1209" s="49" t="s">
        <v>681</v>
      </c>
      <c r="J1209" s="5" t="s">
        <v>102</v>
      </c>
    </row>
    <row r="1210" spans="1:10" ht="30">
      <c r="A1210" s="27" t="s">
        <v>2876</v>
      </c>
      <c r="B1210" s="22" t="s">
        <v>1253</v>
      </c>
      <c r="C1210" s="4" t="s">
        <v>58</v>
      </c>
      <c r="D1210" s="22" t="s">
        <v>2320</v>
      </c>
      <c r="E1210" s="22" t="s">
        <v>100</v>
      </c>
      <c r="F1210" s="22">
        <v>10</v>
      </c>
      <c r="G1210" s="22" t="s">
        <v>228</v>
      </c>
      <c r="H1210" s="5">
        <v>2732.1428571428569</v>
      </c>
      <c r="I1210" s="49" t="s">
        <v>681</v>
      </c>
      <c r="J1210" s="5" t="s">
        <v>102</v>
      </c>
    </row>
    <row r="1211" spans="1:10" ht="30">
      <c r="A1211" s="27" t="s">
        <v>2877</v>
      </c>
      <c r="B1211" s="22" t="s">
        <v>2287</v>
      </c>
      <c r="C1211" s="4" t="s">
        <v>58</v>
      </c>
      <c r="D1211" s="22" t="s">
        <v>2322</v>
      </c>
      <c r="E1211" s="22" t="s">
        <v>100</v>
      </c>
      <c r="F1211" s="22">
        <v>15</v>
      </c>
      <c r="G1211" s="22" t="s">
        <v>228</v>
      </c>
      <c r="H1211" s="5">
        <v>6348.2142857142853</v>
      </c>
      <c r="I1211" s="49" t="s">
        <v>681</v>
      </c>
      <c r="J1211" s="5" t="s">
        <v>102</v>
      </c>
    </row>
    <row r="1212" spans="1:10" ht="30">
      <c r="A1212" s="27" t="s">
        <v>2878</v>
      </c>
      <c r="B1212" s="22" t="s">
        <v>2396</v>
      </c>
      <c r="C1212" s="4" t="s">
        <v>58</v>
      </c>
      <c r="D1212" s="22" t="s">
        <v>2396</v>
      </c>
      <c r="E1212" s="22" t="s">
        <v>100</v>
      </c>
      <c r="F1212" s="22">
        <v>15</v>
      </c>
      <c r="G1212" s="22" t="s">
        <v>228</v>
      </c>
      <c r="H1212" s="5">
        <v>1366.0714285714284</v>
      </c>
      <c r="I1212" s="49" t="s">
        <v>681</v>
      </c>
      <c r="J1212" s="5" t="s">
        <v>102</v>
      </c>
    </row>
    <row r="1213" spans="1:10" ht="30">
      <c r="A1213" s="27" t="s">
        <v>2879</v>
      </c>
      <c r="B1213" s="22" t="s">
        <v>1253</v>
      </c>
      <c r="C1213" s="4" t="s">
        <v>58</v>
      </c>
      <c r="D1213" s="22" t="s">
        <v>2324</v>
      </c>
      <c r="E1213" s="22" t="s">
        <v>100</v>
      </c>
      <c r="F1213" s="22">
        <v>2</v>
      </c>
      <c r="G1213" s="22" t="s">
        <v>228</v>
      </c>
      <c r="H1213" s="5">
        <v>2646.4285714285711</v>
      </c>
      <c r="I1213" s="49" t="s">
        <v>681</v>
      </c>
      <c r="J1213" s="5" t="s">
        <v>102</v>
      </c>
    </row>
    <row r="1214" spans="1:10" ht="30">
      <c r="A1214" s="27" t="s">
        <v>2880</v>
      </c>
      <c r="B1214" s="22" t="s">
        <v>2326</v>
      </c>
      <c r="C1214" s="4" t="s">
        <v>58</v>
      </c>
      <c r="D1214" s="22" t="s">
        <v>2326</v>
      </c>
      <c r="E1214" s="22" t="s">
        <v>100</v>
      </c>
      <c r="F1214" s="22">
        <v>90</v>
      </c>
      <c r="G1214" s="22" t="s">
        <v>228</v>
      </c>
      <c r="H1214" s="5">
        <v>1157.1428571428571</v>
      </c>
      <c r="I1214" s="49" t="s">
        <v>681</v>
      </c>
      <c r="J1214" s="5" t="s">
        <v>102</v>
      </c>
    </row>
    <row r="1215" spans="1:10" ht="30">
      <c r="A1215" s="27" t="s">
        <v>2881</v>
      </c>
      <c r="B1215" s="22" t="s">
        <v>2248</v>
      </c>
      <c r="C1215" s="4" t="s">
        <v>58</v>
      </c>
      <c r="D1215" s="22" t="s">
        <v>2248</v>
      </c>
      <c r="E1215" s="22" t="s">
        <v>100</v>
      </c>
      <c r="F1215" s="22">
        <v>10</v>
      </c>
      <c r="G1215" s="22" t="s">
        <v>228</v>
      </c>
      <c r="H1215" s="5">
        <v>857.14285714285711</v>
      </c>
      <c r="I1215" s="49" t="s">
        <v>681</v>
      </c>
      <c r="J1215" s="5" t="s">
        <v>102</v>
      </c>
    </row>
    <row r="1216" spans="1:10" ht="30">
      <c r="A1216" s="27" t="s">
        <v>2882</v>
      </c>
      <c r="B1216" s="22" t="s">
        <v>2208</v>
      </c>
      <c r="C1216" s="4" t="s">
        <v>58</v>
      </c>
      <c r="D1216" s="22" t="s">
        <v>2208</v>
      </c>
      <c r="E1216" s="22" t="s">
        <v>100</v>
      </c>
      <c r="F1216" s="22">
        <v>10</v>
      </c>
      <c r="G1216" s="22" t="s">
        <v>228</v>
      </c>
      <c r="H1216" s="5">
        <v>428.57142857142856</v>
      </c>
      <c r="I1216" s="49" t="s">
        <v>681</v>
      </c>
      <c r="J1216" s="5" t="s">
        <v>102</v>
      </c>
    </row>
    <row r="1217" spans="1:10" ht="30">
      <c r="A1217" s="27" t="s">
        <v>2883</v>
      </c>
      <c r="B1217" s="22" t="s">
        <v>2505</v>
      </c>
      <c r="C1217" s="4" t="s">
        <v>58</v>
      </c>
      <c r="D1217" s="22" t="s">
        <v>2506</v>
      </c>
      <c r="E1217" s="22" t="s">
        <v>100</v>
      </c>
      <c r="F1217" s="22">
        <v>10</v>
      </c>
      <c r="G1217" s="22" t="s">
        <v>228</v>
      </c>
      <c r="H1217" s="5">
        <v>749.99999999999989</v>
      </c>
      <c r="I1217" s="49" t="s">
        <v>681</v>
      </c>
      <c r="J1217" s="5" t="s">
        <v>102</v>
      </c>
    </row>
    <row r="1218" spans="1:10" ht="30">
      <c r="A1218" s="27" t="s">
        <v>2884</v>
      </c>
      <c r="B1218" s="22" t="s">
        <v>2280</v>
      </c>
      <c r="C1218" s="4" t="s">
        <v>58</v>
      </c>
      <c r="D1218" s="22" t="s">
        <v>2280</v>
      </c>
      <c r="E1218" s="22" t="s">
        <v>100</v>
      </c>
      <c r="F1218" s="22">
        <v>10</v>
      </c>
      <c r="G1218" s="22" t="s">
        <v>228</v>
      </c>
      <c r="H1218" s="5">
        <v>2839.2857142857138</v>
      </c>
      <c r="I1218" s="49" t="s">
        <v>681</v>
      </c>
      <c r="J1218" s="5" t="s">
        <v>102</v>
      </c>
    </row>
    <row r="1219" spans="1:10" ht="30">
      <c r="A1219" s="27" t="s">
        <v>2885</v>
      </c>
      <c r="B1219" s="22" t="s">
        <v>2403</v>
      </c>
      <c r="C1219" s="4" t="s">
        <v>58</v>
      </c>
      <c r="D1219" s="22" t="s">
        <v>2403</v>
      </c>
      <c r="E1219" s="22" t="s">
        <v>100</v>
      </c>
      <c r="F1219" s="22">
        <v>5</v>
      </c>
      <c r="G1219" s="22" t="s">
        <v>228</v>
      </c>
      <c r="H1219" s="5">
        <v>883.92857142857133</v>
      </c>
      <c r="I1219" s="49" t="s">
        <v>681</v>
      </c>
      <c r="J1219" s="5" t="s">
        <v>102</v>
      </c>
    </row>
    <row r="1220" spans="1:10" ht="30">
      <c r="A1220" s="27" t="s">
        <v>2886</v>
      </c>
      <c r="B1220" s="22" t="s">
        <v>2405</v>
      </c>
      <c r="C1220" s="4" t="s">
        <v>58</v>
      </c>
      <c r="D1220" s="22" t="s">
        <v>2405</v>
      </c>
      <c r="E1220" s="22" t="s">
        <v>100</v>
      </c>
      <c r="F1220" s="22">
        <v>5</v>
      </c>
      <c r="G1220" s="22" t="s">
        <v>228</v>
      </c>
      <c r="H1220" s="5">
        <v>2499.9999999999995</v>
      </c>
      <c r="I1220" s="49" t="s">
        <v>681</v>
      </c>
      <c r="J1220" s="5" t="s">
        <v>102</v>
      </c>
    </row>
    <row r="1221" spans="1:10" ht="30">
      <c r="A1221" s="27" t="s">
        <v>2887</v>
      </c>
      <c r="B1221" s="22" t="s">
        <v>2171</v>
      </c>
      <c r="C1221" s="4" t="s">
        <v>58</v>
      </c>
      <c r="D1221" s="22" t="s">
        <v>2407</v>
      </c>
      <c r="E1221" s="22" t="s">
        <v>100</v>
      </c>
      <c r="F1221" s="22">
        <v>1</v>
      </c>
      <c r="G1221" s="22" t="s">
        <v>228</v>
      </c>
      <c r="H1221" s="5">
        <v>3874.9999999999995</v>
      </c>
      <c r="I1221" s="49" t="s">
        <v>681</v>
      </c>
      <c r="J1221" s="5" t="s">
        <v>102</v>
      </c>
    </row>
    <row r="1222" spans="1:10" ht="30">
      <c r="A1222" s="27" t="s">
        <v>2888</v>
      </c>
      <c r="B1222" s="22" t="s">
        <v>2305</v>
      </c>
      <c r="C1222" s="4" t="s">
        <v>58</v>
      </c>
      <c r="D1222" s="22" t="s">
        <v>2305</v>
      </c>
      <c r="E1222" s="22" t="s">
        <v>604</v>
      </c>
      <c r="F1222" s="22">
        <v>20</v>
      </c>
      <c r="G1222" s="22" t="s">
        <v>228</v>
      </c>
      <c r="H1222" s="5">
        <v>3964.2857142857138</v>
      </c>
      <c r="I1222" s="49" t="s">
        <v>681</v>
      </c>
      <c r="J1222" s="5" t="s">
        <v>102</v>
      </c>
    </row>
    <row r="1223" spans="1:10" ht="30">
      <c r="A1223" s="27" t="s">
        <v>2889</v>
      </c>
      <c r="B1223" s="22" t="s">
        <v>2238</v>
      </c>
      <c r="C1223" s="4" t="s">
        <v>58</v>
      </c>
      <c r="D1223" s="22" t="s">
        <v>2225</v>
      </c>
      <c r="E1223" s="22" t="s">
        <v>604</v>
      </c>
      <c r="F1223" s="22">
        <v>20</v>
      </c>
      <c r="G1223" s="22" t="s">
        <v>228</v>
      </c>
      <c r="H1223" s="5">
        <v>1714.2857142857142</v>
      </c>
      <c r="I1223" s="49" t="s">
        <v>681</v>
      </c>
      <c r="J1223" s="5" t="s">
        <v>102</v>
      </c>
    </row>
    <row r="1224" spans="1:10" ht="30">
      <c r="A1224" s="27" t="s">
        <v>2890</v>
      </c>
      <c r="B1224" s="22" t="s">
        <v>2369</v>
      </c>
      <c r="C1224" s="4" t="s">
        <v>58</v>
      </c>
      <c r="D1224" s="22" t="s">
        <v>2369</v>
      </c>
      <c r="E1224" s="22" t="s">
        <v>604</v>
      </c>
      <c r="F1224" s="22">
        <v>20</v>
      </c>
      <c r="G1224" s="22" t="s">
        <v>228</v>
      </c>
      <c r="H1224" s="5">
        <v>964.28571428571422</v>
      </c>
      <c r="I1224" s="49" t="s">
        <v>681</v>
      </c>
      <c r="J1224" s="5" t="s">
        <v>102</v>
      </c>
    </row>
    <row r="1225" spans="1:10" ht="30">
      <c r="A1225" s="27" t="s">
        <v>2891</v>
      </c>
      <c r="B1225" s="22" t="s">
        <v>2233</v>
      </c>
      <c r="C1225" s="4" t="s">
        <v>58</v>
      </c>
      <c r="D1225" s="22" t="s">
        <v>2412</v>
      </c>
      <c r="E1225" s="22" t="s">
        <v>100</v>
      </c>
      <c r="F1225" s="22">
        <v>10</v>
      </c>
      <c r="G1225" s="22" t="s">
        <v>228</v>
      </c>
      <c r="H1225" s="5">
        <v>5142.8571428571422</v>
      </c>
      <c r="I1225" s="49" t="s">
        <v>681</v>
      </c>
      <c r="J1225" s="5" t="s">
        <v>102</v>
      </c>
    </row>
    <row r="1226" spans="1:10" ht="30">
      <c r="A1226" s="27" t="s">
        <v>2892</v>
      </c>
      <c r="B1226" s="22" t="s">
        <v>2233</v>
      </c>
      <c r="C1226" s="4" t="s">
        <v>58</v>
      </c>
      <c r="D1226" s="22" t="s">
        <v>2414</v>
      </c>
      <c r="E1226" s="22" t="s">
        <v>100</v>
      </c>
      <c r="F1226" s="22">
        <v>5</v>
      </c>
      <c r="G1226" s="22" t="s">
        <v>228</v>
      </c>
      <c r="H1226" s="5">
        <v>3669.6428571428569</v>
      </c>
      <c r="I1226" s="49" t="s">
        <v>681</v>
      </c>
      <c r="J1226" s="5" t="s">
        <v>102</v>
      </c>
    </row>
    <row r="1227" spans="1:10" ht="30">
      <c r="A1227" s="27" t="s">
        <v>2893</v>
      </c>
      <c r="B1227" s="22" t="s">
        <v>2174</v>
      </c>
      <c r="C1227" s="4" t="s">
        <v>58</v>
      </c>
      <c r="D1227" s="22" t="s">
        <v>2174</v>
      </c>
      <c r="E1227" s="22" t="s">
        <v>100</v>
      </c>
      <c r="F1227" s="22">
        <v>3</v>
      </c>
      <c r="G1227" s="22" t="s">
        <v>228</v>
      </c>
      <c r="H1227" s="5">
        <v>401.78571428571422</v>
      </c>
      <c r="I1227" s="49" t="s">
        <v>681</v>
      </c>
      <c r="J1227" s="5" t="s">
        <v>102</v>
      </c>
    </row>
    <row r="1228" spans="1:10" ht="30">
      <c r="A1228" s="27" t="s">
        <v>2894</v>
      </c>
      <c r="B1228" s="22" t="s">
        <v>2417</v>
      </c>
      <c r="C1228" s="4" t="s">
        <v>58</v>
      </c>
      <c r="D1228" s="22" t="s">
        <v>2418</v>
      </c>
      <c r="E1228" s="22" t="s">
        <v>604</v>
      </c>
      <c r="F1228" s="22">
        <v>5</v>
      </c>
      <c r="G1228" s="22" t="s">
        <v>228</v>
      </c>
      <c r="H1228" s="5">
        <v>749.99999999999989</v>
      </c>
      <c r="I1228" s="49" t="s">
        <v>681</v>
      </c>
      <c r="J1228" s="5" t="s">
        <v>102</v>
      </c>
    </row>
    <row r="1229" spans="1:10" ht="30">
      <c r="A1229" s="27" t="s">
        <v>2895</v>
      </c>
      <c r="B1229" s="22" t="s">
        <v>2417</v>
      </c>
      <c r="C1229" s="4" t="s">
        <v>58</v>
      </c>
      <c r="D1229" s="22" t="s">
        <v>2420</v>
      </c>
      <c r="E1229" s="22" t="s">
        <v>604</v>
      </c>
      <c r="F1229" s="22">
        <v>5</v>
      </c>
      <c r="G1229" s="22" t="s">
        <v>228</v>
      </c>
      <c r="H1229" s="5">
        <v>1928.5714285714284</v>
      </c>
      <c r="I1229" s="49" t="s">
        <v>681</v>
      </c>
      <c r="J1229" s="5" t="s">
        <v>102</v>
      </c>
    </row>
    <row r="1230" spans="1:10" ht="30">
      <c r="A1230" s="27" t="s">
        <v>2896</v>
      </c>
      <c r="B1230" s="22" t="s">
        <v>2417</v>
      </c>
      <c r="C1230" s="4" t="s">
        <v>58</v>
      </c>
      <c r="D1230" s="22" t="s">
        <v>2422</v>
      </c>
      <c r="E1230" s="22" t="s">
        <v>604</v>
      </c>
      <c r="F1230" s="22">
        <v>5</v>
      </c>
      <c r="G1230" s="22" t="s">
        <v>228</v>
      </c>
      <c r="H1230" s="5">
        <v>3187.4999999999995</v>
      </c>
      <c r="I1230" s="49" t="s">
        <v>681</v>
      </c>
      <c r="J1230" s="5" t="s">
        <v>102</v>
      </c>
    </row>
    <row r="1231" spans="1:10" ht="30">
      <c r="A1231" s="27" t="s">
        <v>2897</v>
      </c>
      <c r="B1231" s="22" t="s">
        <v>2203</v>
      </c>
      <c r="C1231" s="4" t="s">
        <v>58</v>
      </c>
      <c r="D1231" s="22" t="s">
        <v>2204</v>
      </c>
      <c r="E1231" s="22" t="s">
        <v>100</v>
      </c>
      <c r="F1231" s="22">
        <v>15</v>
      </c>
      <c r="G1231" s="22" t="s">
        <v>228</v>
      </c>
      <c r="H1231" s="5">
        <v>2249.9999999999995</v>
      </c>
      <c r="I1231" s="49" t="s">
        <v>681</v>
      </c>
      <c r="J1231" s="5" t="s">
        <v>102</v>
      </c>
    </row>
    <row r="1232" spans="1:10" ht="30">
      <c r="A1232" s="27" t="s">
        <v>2898</v>
      </c>
      <c r="B1232" s="22" t="s">
        <v>2330</v>
      </c>
      <c r="C1232" s="4" t="s">
        <v>58</v>
      </c>
      <c r="D1232" s="22" t="s">
        <v>2330</v>
      </c>
      <c r="E1232" s="22" t="s">
        <v>100</v>
      </c>
      <c r="F1232" s="22">
        <v>5</v>
      </c>
      <c r="G1232" s="22" t="s">
        <v>228</v>
      </c>
      <c r="H1232" s="5">
        <v>267.85714285714283</v>
      </c>
      <c r="I1232" s="49" t="s">
        <v>681</v>
      </c>
      <c r="J1232" s="5" t="s">
        <v>102</v>
      </c>
    </row>
    <row r="1233" spans="1:10" ht="30">
      <c r="A1233" s="27" t="s">
        <v>2899</v>
      </c>
      <c r="B1233" s="22" t="s">
        <v>2650</v>
      </c>
      <c r="C1233" s="4" t="s">
        <v>58</v>
      </c>
      <c r="D1233" s="22" t="s">
        <v>2651</v>
      </c>
      <c r="E1233" s="22" t="s">
        <v>100</v>
      </c>
      <c r="F1233" s="22">
        <v>1</v>
      </c>
      <c r="G1233" s="22" t="s">
        <v>228</v>
      </c>
      <c r="H1233" s="5">
        <v>424.10714285714283</v>
      </c>
      <c r="I1233" s="49" t="s">
        <v>681</v>
      </c>
      <c r="J1233" s="5" t="s">
        <v>102</v>
      </c>
    </row>
    <row r="1234" spans="1:10" ht="30">
      <c r="A1234" s="27" t="s">
        <v>2900</v>
      </c>
      <c r="B1234" s="22" t="s">
        <v>2901</v>
      </c>
      <c r="C1234" s="4" t="s">
        <v>58</v>
      </c>
      <c r="D1234" s="22" t="s">
        <v>2901</v>
      </c>
      <c r="E1234" s="22" t="s">
        <v>100</v>
      </c>
      <c r="F1234" s="22">
        <v>1</v>
      </c>
      <c r="G1234" s="22" t="s">
        <v>228</v>
      </c>
      <c r="H1234" s="5">
        <v>814.28571428571422</v>
      </c>
      <c r="I1234" s="49" t="s">
        <v>681</v>
      </c>
      <c r="J1234" s="5" t="s">
        <v>102</v>
      </c>
    </row>
    <row r="1235" spans="1:10" ht="30">
      <c r="A1235" s="27" t="s">
        <v>2902</v>
      </c>
      <c r="B1235" s="22" t="s">
        <v>2332</v>
      </c>
      <c r="C1235" s="4" t="s">
        <v>58</v>
      </c>
      <c r="D1235" s="22" t="s">
        <v>2333</v>
      </c>
      <c r="E1235" s="22" t="s">
        <v>100</v>
      </c>
      <c r="F1235" s="22">
        <v>20</v>
      </c>
      <c r="G1235" s="22" t="s">
        <v>228</v>
      </c>
      <c r="H1235" s="5">
        <v>1714.2857142857142</v>
      </c>
      <c r="I1235" s="49" t="s">
        <v>681</v>
      </c>
      <c r="J1235" s="5" t="s">
        <v>102</v>
      </c>
    </row>
    <row r="1236" spans="1:10" ht="30">
      <c r="A1236" s="27" t="s">
        <v>2903</v>
      </c>
      <c r="B1236" s="22" t="s">
        <v>2335</v>
      </c>
      <c r="C1236" s="4" t="s">
        <v>58</v>
      </c>
      <c r="D1236" s="22" t="s">
        <v>2336</v>
      </c>
      <c r="E1236" s="22" t="s">
        <v>100</v>
      </c>
      <c r="F1236" s="22">
        <v>20</v>
      </c>
      <c r="G1236" s="22" t="s">
        <v>228</v>
      </c>
      <c r="H1236" s="5">
        <v>4732.1428571428569</v>
      </c>
      <c r="I1236" s="49" t="s">
        <v>681</v>
      </c>
      <c r="J1236" s="5" t="s">
        <v>102</v>
      </c>
    </row>
    <row r="1237" spans="1:10" ht="30">
      <c r="A1237" s="27" t="s">
        <v>2904</v>
      </c>
      <c r="B1237" s="22" t="s">
        <v>2427</v>
      </c>
      <c r="C1237" s="4" t="s">
        <v>58</v>
      </c>
      <c r="D1237" s="22" t="s">
        <v>2427</v>
      </c>
      <c r="E1237" s="22" t="s">
        <v>100</v>
      </c>
      <c r="F1237" s="22">
        <v>2</v>
      </c>
      <c r="G1237" s="22" t="s">
        <v>228</v>
      </c>
      <c r="H1237" s="5">
        <v>3749.9999999999995</v>
      </c>
      <c r="I1237" s="49" t="s">
        <v>681</v>
      </c>
      <c r="J1237" s="5" t="s">
        <v>102</v>
      </c>
    </row>
    <row r="1238" spans="1:10" ht="30">
      <c r="A1238" s="27" t="s">
        <v>2905</v>
      </c>
      <c r="B1238" s="22" t="s">
        <v>2430</v>
      </c>
      <c r="C1238" s="4" t="s">
        <v>58</v>
      </c>
      <c r="D1238" s="22" t="s">
        <v>2431</v>
      </c>
      <c r="E1238" s="22" t="s">
        <v>100</v>
      </c>
      <c r="F1238" s="22">
        <v>10</v>
      </c>
      <c r="G1238" s="22" t="s">
        <v>228</v>
      </c>
      <c r="H1238" s="5">
        <v>3321.4285714285711</v>
      </c>
      <c r="I1238" s="49" t="s">
        <v>681</v>
      </c>
      <c r="J1238" s="5" t="s">
        <v>102</v>
      </c>
    </row>
    <row r="1239" spans="1:10" ht="30">
      <c r="A1239" s="27" t="s">
        <v>2906</v>
      </c>
      <c r="B1239" s="22" t="s">
        <v>2270</v>
      </c>
      <c r="C1239" s="4" t="s">
        <v>58</v>
      </c>
      <c r="D1239" s="22" t="s">
        <v>2271</v>
      </c>
      <c r="E1239" s="22" t="s">
        <v>100</v>
      </c>
      <c r="F1239" s="22">
        <v>5</v>
      </c>
      <c r="G1239" s="22" t="s">
        <v>228</v>
      </c>
      <c r="H1239" s="5">
        <v>9642.8571428571413</v>
      </c>
      <c r="I1239" s="49" t="s">
        <v>681</v>
      </c>
      <c r="J1239" s="5" t="s">
        <v>102</v>
      </c>
    </row>
    <row r="1240" spans="1:10" ht="30">
      <c r="A1240" s="27" t="s">
        <v>2907</v>
      </c>
      <c r="B1240" s="22" t="s">
        <v>395</v>
      </c>
      <c r="C1240" s="4" t="s">
        <v>58</v>
      </c>
      <c r="D1240" s="22" t="s">
        <v>2372</v>
      </c>
      <c r="E1240" s="22" t="s">
        <v>100</v>
      </c>
      <c r="F1240" s="22">
        <v>20</v>
      </c>
      <c r="G1240" s="22" t="s">
        <v>228</v>
      </c>
      <c r="H1240" s="5">
        <v>8464.2857142857138</v>
      </c>
      <c r="I1240" s="49" t="s">
        <v>681</v>
      </c>
      <c r="J1240" s="5" t="s">
        <v>102</v>
      </c>
    </row>
    <row r="1241" spans="1:10" ht="30">
      <c r="A1241" s="27" t="s">
        <v>2908</v>
      </c>
      <c r="B1241" s="22" t="s">
        <v>395</v>
      </c>
      <c r="C1241" s="4" t="s">
        <v>58</v>
      </c>
      <c r="D1241" s="22" t="s">
        <v>2374</v>
      </c>
      <c r="E1241" s="22" t="s">
        <v>100</v>
      </c>
      <c r="F1241" s="22">
        <v>5</v>
      </c>
      <c r="G1241" s="22" t="s">
        <v>228</v>
      </c>
      <c r="H1241" s="5">
        <v>1285.7142857142856</v>
      </c>
      <c r="I1241" s="49" t="s">
        <v>681</v>
      </c>
      <c r="J1241" s="5" t="s">
        <v>102</v>
      </c>
    </row>
    <row r="1242" spans="1:10" ht="30">
      <c r="A1242" s="27" t="s">
        <v>2909</v>
      </c>
      <c r="B1242" s="22" t="s">
        <v>395</v>
      </c>
      <c r="C1242" s="4" t="s">
        <v>58</v>
      </c>
      <c r="D1242" s="22" t="s">
        <v>2338</v>
      </c>
      <c r="E1242" s="22" t="s">
        <v>100</v>
      </c>
      <c r="F1242" s="22">
        <v>20</v>
      </c>
      <c r="G1242" s="22" t="s">
        <v>228</v>
      </c>
      <c r="H1242" s="5">
        <v>767.85714285714278</v>
      </c>
      <c r="I1242" s="49" t="s">
        <v>681</v>
      </c>
      <c r="J1242" s="5" t="s">
        <v>102</v>
      </c>
    </row>
    <row r="1243" spans="1:10" ht="30">
      <c r="A1243" s="27" t="s">
        <v>2910</v>
      </c>
      <c r="B1243" s="22" t="s">
        <v>2480</v>
      </c>
      <c r="C1243" s="4" t="s">
        <v>58</v>
      </c>
      <c r="D1243" s="22" t="s">
        <v>2480</v>
      </c>
      <c r="E1243" s="22" t="s">
        <v>100</v>
      </c>
      <c r="F1243" s="22">
        <v>3</v>
      </c>
      <c r="G1243" s="22" t="s">
        <v>228</v>
      </c>
      <c r="H1243" s="5">
        <v>449.99999999999989</v>
      </c>
      <c r="I1243" s="49" t="s">
        <v>681</v>
      </c>
      <c r="J1243" s="5" t="s">
        <v>102</v>
      </c>
    </row>
    <row r="1244" spans="1:10" ht="30">
      <c r="A1244" s="27" t="s">
        <v>2911</v>
      </c>
      <c r="B1244" s="22" t="s">
        <v>2340</v>
      </c>
      <c r="C1244" s="4" t="s">
        <v>58</v>
      </c>
      <c r="D1244" s="22" t="s">
        <v>2341</v>
      </c>
      <c r="E1244" s="22" t="s">
        <v>2342</v>
      </c>
      <c r="F1244" s="22">
        <v>8</v>
      </c>
      <c r="G1244" s="22" t="s">
        <v>228</v>
      </c>
      <c r="H1244" s="5">
        <v>1799.9999999999998</v>
      </c>
      <c r="I1244" s="49" t="s">
        <v>681</v>
      </c>
      <c r="J1244" s="5" t="s">
        <v>102</v>
      </c>
    </row>
    <row r="1245" spans="1:10" ht="30">
      <c r="A1245" s="27" t="s">
        <v>2912</v>
      </c>
      <c r="B1245" s="22" t="s">
        <v>2440</v>
      </c>
      <c r="C1245" s="4" t="s">
        <v>58</v>
      </c>
      <c r="D1245" s="22" t="s">
        <v>2440</v>
      </c>
      <c r="E1245" s="22" t="s">
        <v>100</v>
      </c>
      <c r="F1245" s="22">
        <v>5</v>
      </c>
      <c r="G1245" s="22" t="s">
        <v>228</v>
      </c>
      <c r="H1245" s="5">
        <v>2517.8571428571427</v>
      </c>
      <c r="I1245" s="49" t="s">
        <v>681</v>
      </c>
      <c r="J1245" s="5" t="s">
        <v>102</v>
      </c>
    </row>
    <row r="1246" spans="1:10" ht="30">
      <c r="A1246" s="27" t="s">
        <v>2913</v>
      </c>
      <c r="B1246" s="22" t="s">
        <v>2381</v>
      </c>
      <c r="C1246" s="4" t="s">
        <v>58</v>
      </c>
      <c r="D1246" s="22" t="s">
        <v>2381</v>
      </c>
      <c r="E1246" s="22" t="s">
        <v>100</v>
      </c>
      <c r="F1246" s="22">
        <v>8</v>
      </c>
      <c r="G1246" s="22" t="s">
        <v>228</v>
      </c>
      <c r="H1246" s="5">
        <v>11957.142857142857</v>
      </c>
      <c r="I1246" s="49" t="s">
        <v>681</v>
      </c>
      <c r="J1246" s="5" t="s">
        <v>102</v>
      </c>
    </row>
    <row r="1247" spans="1:10" ht="30">
      <c r="A1247" s="27" t="s">
        <v>2914</v>
      </c>
      <c r="B1247" s="22" t="s">
        <v>2344</v>
      </c>
      <c r="C1247" s="4" t="s">
        <v>58</v>
      </c>
      <c r="D1247" s="22" t="s">
        <v>2344</v>
      </c>
      <c r="E1247" s="22" t="s">
        <v>100</v>
      </c>
      <c r="F1247" s="22">
        <v>3</v>
      </c>
      <c r="G1247" s="22" t="s">
        <v>228</v>
      </c>
      <c r="H1247" s="5">
        <v>2764.2857142857138</v>
      </c>
      <c r="I1247" s="49" t="s">
        <v>681</v>
      </c>
      <c r="J1247" s="5" t="s">
        <v>102</v>
      </c>
    </row>
    <row r="1248" spans="1:10" ht="45">
      <c r="A1248" s="27" t="s">
        <v>2915</v>
      </c>
      <c r="B1248" s="17" t="s">
        <v>603</v>
      </c>
      <c r="C1248" s="4" t="s">
        <v>58</v>
      </c>
      <c r="D1248" s="22" t="s">
        <v>2350</v>
      </c>
      <c r="E1248" s="22" t="s">
        <v>604</v>
      </c>
      <c r="F1248" s="22">
        <v>132</v>
      </c>
      <c r="G1248" s="22" t="s">
        <v>229</v>
      </c>
      <c r="H1248" s="5">
        <v>157857.14285714284</v>
      </c>
      <c r="I1248" s="49" t="s">
        <v>681</v>
      </c>
      <c r="J1248" s="5" t="s">
        <v>102</v>
      </c>
    </row>
    <row r="1249" spans="1:10" ht="30">
      <c r="A1249" s="27" t="s">
        <v>2916</v>
      </c>
      <c r="B1249" s="22" t="s">
        <v>2352</v>
      </c>
      <c r="C1249" s="4" t="s">
        <v>58</v>
      </c>
      <c r="D1249" s="22" t="s">
        <v>2353</v>
      </c>
      <c r="E1249" s="22" t="s">
        <v>100</v>
      </c>
      <c r="F1249" s="22">
        <v>10</v>
      </c>
      <c r="G1249" s="22" t="s">
        <v>229</v>
      </c>
      <c r="H1249" s="5">
        <v>589.28571428571422</v>
      </c>
      <c r="I1249" s="49" t="s">
        <v>681</v>
      </c>
      <c r="J1249" s="5" t="s">
        <v>102</v>
      </c>
    </row>
    <row r="1250" spans="1:10" ht="30">
      <c r="A1250" s="27" t="s">
        <v>2917</v>
      </c>
      <c r="B1250" s="22" t="s">
        <v>2388</v>
      </c>
      <c r="C1250" s="4" t="s">
        <v>58</v>
      </c>
      <c r="D1250" s="22" t="s">
        <v>2389</v>
      </c>
      <c r="E1250" s="22" t="s">
        <v>100</v>
      </c>
      <c r="F1250" s="22">
        <v>100</v>
      </c>
      <c r="G1250" s="22" t="s">
        <v>229</v>
      </c>
      <c r="H1250" s="5">
        <v>1285.7142857142856</v>
      </c>
      <c r="I1250" s="49" t="s">
        <v>681</v>
      </c>
      <c r="J1250" s="5" t="s">
        <v>102</v>
      </c>
    </row>
    <row r="1251" spans="1:10" ht="30">
      <c r="A1251" s="27" t="s">
        <v>2918</v>
      </c>
      <c r="B1251" s="17" t="s">
        <v>2276</v>
      </c>
      <c r="C1251" s="4" t="s">
        <v>58</v>
      </c>
      <c r="D1251" s="22" t="s">
        <v>2315</v>
      </c>
      <c r="E1251" s="22" t="s">
        <v>2316</v>
      </c>
      <c r="F1251" s="22">
        <v>9</v>
      </c>
      <c r="G1251" s="22" t="s">
        <v>229</v>
      </c>
      <c r="H1251" s="5">
        <v>7499.9999999999991</v>
      </c>
      <c r="I1251" s="49" t="s">
        <v>681</v>
      </c>
      <c r="J1251" s="5" t="s">
        <v>102</v>
      </c>
    </row>
    <row r="1252" spans="1:10" ht="30">
      <c r="A1252" s="27" t="s">
        <v>2919</v>
      </c>
      <c r="B1252" s="22" t="s">
        <v>2180</v>
      </c>
      <c r="C1252" s="4" t="s">
        <v>58</v>
      </c>
      <c r="D1252" s="22" t="s">
        <v>2318</v>
      </c>
      <c r="E1252" s="22" t="s">
        <v>100</v>
      </c>
      <c r="F1252" s="22">
        <v>100</v>
      </c>
      <c r="G1252" s="22" t="s">
        <v>229</v>
      </c>
      <c r="H1252" s="5">
        <v>6696.4285714285706</v>
      </c>
      <c r="I1252" s="49" t="s">
        <v>681</v>
      </c>
      <c r="J1252" s="5" t="s">
        <v>102</v>
      </c>
    </row>
    <row r="1253" spans="1:10" ht="30">
      <c r="A1253" s="27" t="s">
        <v>2920</v>
      </c>
      <c r="B1253" s="22" t="s">
        <v>2180</v>
      </c>
      <c r="C1253" s="4" t="s">
        <v>58</v>
      </c>
      <c r="D1253" s="22" t="s">
        <v>2393</v>
      </c>
      <c r="E1253" s="22" t="s">
        <v>100</v>
      </c>
      <c r="F1253" s="22">
        <v>60</v>
      </c>
      <c r="G1253" s="22" t="s">
        <v>229</v>
      </c>
      <c r="H1253" s="5">
        <v>5999.9999999999991</v>
      </c>
      <c r="I1253" s="49" t="s">
        <v>681</v>
      </c>
      <c r="J1253" s="5" t="s">
        <v>102</v>
      </c>
    </row>
    <row r="1254" spans="1:10" ht="30">
      <c r="A1254" s="27" t="s">
        <v>2921</v>
      </c>
      <c r="B1254" s="22" t="s">
        <v>1253</v>
      </c>
      <c r="C1254" s="4" t="s">
        <v>58</v>
      </c>
      <c r="D1254" s="22" t="s">
        <v>2320</v>
      </c>
      <c r="E1254" s="22" t="s">
        <v>100</v>
      </c>
      <c r="F1254" s="22">
        <v>8</v>
      </c>
      <c r="G1254" s="22" t="s">
        <v>229</v>
      </c>
      <c r="H1254" s="5">
        <v>2185.7142857142853</v>
      </c>
      <c r="I1254" s="49" t="s">
        <v>681</v>
      </c>
      <c r="J1254" s="5" t="s">
        <v>102</v>
      </c>
    </row>
    <row r="1255" spans="1:10" ht="30">
      <c r="A1255" s="27" t="s">
        <v>2922</v>
      </c>
      <c r="B1255" s="22" t="s">
        <v>2287</v>
      </c>
      <c r="C1255" s="4" t="s">
        <v>58</v>
      </c>
      <c r="D1255" s="22" t="s">
        <v>2322</v>
      </c>
      <c r="E1255" s="22" t="s">
        <v>100</v>
      </c>
      <c r="F1255" s="22">
        <v>8</v>
      </c>
      <c r="G1255" s="22" t="s">
        <v>229</v>
      </c>
      <c r="H1255" s="5">
        <v>3385.7142857142853</v>
      </c>
      <c r="I1255" s="49" t="s">
        <v>681</v>
      </c>
      <c r="J1255" s="5" t="s">
        <v>102</v>
      </c>
    </row>
    <row r="1256" spans="1:10" ht="30">
      <c r="A1256" s="27" t="s">
        <v>2923</v>
      </c>
      <c r="B1256" s="22" t="s">
        <v>2233</v>
      </c>
      <c r="C1256" s="4" t="s">
        <v>58</v>
      </c>
      <c r="D1256" s="22" t="s">
        <v>2412</v>
      </c>
      <c r="E1256" s="22" t="s">
        <v>100</v>
      </c>
      <c r="F1256" s="22">
        <v>6</v>
      </c>
      <c r="G1256" s="22" t="s">
        <v>229</v>
      </c>
      <c r="H1256" s="5">
        <v>3085.7142857142853</v>
      </c>
      <c r="I1256" s="49" t="s">
        <v>681</v>
      </c>
      <c r="J1256" s="5" t="s">
        <v>102</v>
      </c>
    </row>
    <row r="1257" spans="1:10" ht="30">
      <c r="A1257" s="27" t="s">
        <v>2924</v>
      </c>
      <c r="B1257" s="22" t="s">
        <v>2233</v>
      </c>
      <c r="C1257" s="4" t="s">
        <v>58</v>
      </c>
      <c r="D1257" s="22" t="s">
        <v>2414</v>
      </c>
      <c r="E1257" s="22" t="s">
        <v>100</v>
      </c>
      <c r="F1257" s="22">
        <v>6</v>
      </c>
      <c r="G1257" s="22" t="s">
        <v>229</v>
      </c>
      <c r="H1257" s="5">
        <v>4403.5714285714275</v>
      </c>
      <c r="I1257" s="49" t="s">
        <v>681</v>
      </c>
      <c r="J1257" s="5" t="s">
        <v>102</v>
      </c>
    </row>
    <row r="1258" spans="1:10" ht="30">
      <c r="A1258" s="27" t="s">
        <v>2925</v>
      </c>
      <c r="B1258" s="22" t="s">
        <v>2203</v>
      </c>
      <c r="C1258" s="4" t="s">
        <v>58</v>
      </c>
      <c r="D1258" s="22" t="s">
        <v>2204</v>
      </c>
      <c r="E1258" s="22" t="s">
        <v>100</v>
      </c>
      <c r="F1258" s="22">
        <v>11</v>
      </c>
      <c r="G1258" s="22" t="s">
        <v>229</v>
      </c>
      <c r="H1258" s="5">
        <v>1649.9999999999998</v>
      </c>
      <c r="I1258" s="49" t="s">
        <v>681</v>
      </c>
      <c r="J1258" s="5" t="s">
        <v>102</v>
      </c>
    </row>
    <row r="1259" spans="1:10" ht="30">
      <c r="A1259" s="27" t="s">
        <v>2926</v>
      </c>
      <c r="B1259" s="22" t="s">
        <v>2650</v>
      </c>
      <c r="C1259" s="4" t="s">
        <v>58</v>
      </c>
      <c r="D1259" s="22" t="s">
        <v>2651</v>
      </c>
      <c r="E1259" s="22" t="s">
        <v>100</v>
      </c>
      <c r="F1259" s="22">
        <v>2</v>
      </c>
      <c r="G1259" s="22" t="s">
        <v>229</v>
      </c>
      <c r="H1259" s="5">
        <v>848.21428571428567</v>
      </c>
      <c r="I1259" s="49" t="s">
        <v>681</v>
      </c>
      <c r="J1259" s="5" t="s">
        <v>102</v>
      </c>
    </row>
    <row r="1260" spans="1:10" ht="30">
      <c r="A1260" s="27" t="s">
        <v>2927</v>
      </c>
      <c r="B1260" s="22" t="s">
        <v>2901</v>
      </c>
      <c r="C1260" s="4" t="s">
        <v>58</v>
      </c>
      <c r="D1260" s="22" t="s">
        <v>2901</v>
      </c>
      <c r="E1260" s="22" t="s">
        <v>100</v>
      </c>
      <c r="F1260" s="22">
        <v>2</v>
      </c>
      <c r="G1260" s="22" t="s">
        <v>229</v>
      </c>
      <c r="H1260" s="5">
        <v>1628.5714285714284</v>
      </c>
      <c r="I1260" s="49" t="s">
        <v>681</v>
      </c>
      <c r="J1260" s="5" t="s">
        <v>102</v>
      </c>
    </row>
    <row r="1261" spans="1:10" ht="30">
      <c r="A1261" s="27" t="s">
        <v>2928</v>
      </c>
      <c r="B1261" s="22" t="s">
        <v>2332</v>
      </c>
      <c r="C1261" s="4" t="s">
        <v>58</v>
      </c>
      <c r="D1261" s="22" t="s">
        <v>2333</v>
      </c>
      <c r="E1261" s="22" t="s">
        <v>100</v>
      </c>
      <c r="F1261" s="22">
        <v>15</v>
      </c>
      <c r="G1261" s="22" t="s">
        <v>229</v>
      </c>
      <c r="H1261" s="5">
        <v>1285.7142857142856</v>
      </c>
      <c r="I1261" s="49" t="s">
        <v>681</v>
      </c>
      <c r="J1261" s="5" t="s">
        <v>102</v>
      </c>
    </row>
    <row r="1262" spans="1:10" ht="30">
      <c r="A1262" s="27" t="s">
        <v>2929</v>
      </c>
      <c r="B1262" s="22" t="s">
        <v>2335</v>
      </c>
      <c r="C1262" s="4" t="s">
        <v>58</v>
      </c>
      <c r="D1262" s="22" t="s">
        <v>2336</v>
      </c>
      <c r="E1262" s="22" t="s">
        <v>100</v>
      </c>
      <c r="F1262" s="22">
        <v>20</v>
      </c>
      <c r="G1262" s="22" t="s">
        <v>229</v>
      </c>
      <c r="H1262" s="5">
        <v>4732.1428571428569</v>
      </c>
      <c r="I1262" s="49" t="s">
        <v>681</v>
      </c>
      <c r="J1262" s="5" t="s">
        <v>102</v>
      </c>
    </row>
    <row r="1263" spans="1:10" ht="30">
      <c r="A1263" s="27" t="s">
        <v>2930</v>
      </c>
      <c r="B1263" s="22" t="s">
        <v>2427</v>
      </c>
      <c r="C1263" s="4" t="s">
        <v>58</v>
      </c>
      <c r="D1263" s="22" t="s">
        <v>2427</v>
      </c>
      <c r="E1263" s="22" t="s">
        <v>100</v>
      </c>
      <c r="F1263" s="22">
        <v>8</v>
      </c>
      <c r="G1263" s="22" t="s">
        <v>229</v>
      </c>
      <c r="H1263" s="5">
        <v>14999.999999999998</v>
      </c>
      <c r="I1263" s="49" t="s">
        <v>681</v>
      </c>
      <c r="J1263" s="5" t="s">
        <v>102</v>
      </c>
    </row>
    <row r="1264" spans="1:10" ht="30">
      <c r="A1264" s="27" t="s">
        <v>2931</v>
      </c>
      <c r="B1264" s="22" t="s">
        <v>2430</v>
      </c>
      <c r="C1264" s="4" t="s">
        <v>58</v>
      </c>
      <c r="D1264" s="22" t="s">
        <v>2431</v>
      </c>
      <c r="E1264" s="22" t="s">
        <v>100</v>
      </c>
      <c r="F1264" s="22">
        <v>4</v>
      </c>
      <c r="G1264" s="22" t="s">
        <v>229</v>
      </c>
      <c r="H1264" s="5">
        <v>1328.5714285714284</v>
      </c>
      <c r="I1264" s="49" t="s">
        <v>681</v>
      </c>
      <c r="J1264" s="5" t="s">
        <v>102</v>
      </c>
    </row>
    <row r="1265" spans="1:10" ht="30">
      <c r="A1265" s="27" t="s">
        <v>2932</v>
      </c>
      <c r="B1265" s="22" t="s">
        <v>2270</v>
      </c>
      <c r="C1265" s="4" t="s">
        <v>58</v>
      </c>
      <c r="D1265" s="22" t="s">
        <v>2271</v>
      </c>
      <c r="E1265" s="22" t="s">
        <v>100</v>
      </c>
      <c r="F1265" s="22">
        <v>8</v>
      </c>
      <c r="G1265" s="22" t="s">
        <v>229</v>
      </c>
      <c r="H1265" s="5">
        <v>15428.571428571428</v>
      </c>
      <c r="I1265" s="49" t="s">
        <v>681</v>
      </c>
      <c r="J1265" s="5" t="s">
        <v>102</v>
      </c>
    </row>
    <row r="1266" spans="1:10" ht="30">
      <c r="A1266" s="27" t="s">
        <v>2933</v>
      </c>
      <c r="B1266" s="22" t="s">
        <v>395</v>
      </c>
      <c r="C1266" s="4" t="s">
        <v>58</v>
      </c>
      <c r="D1266" s="22" t="s">
        <v>2372</v>
      </c>
      <c r="E1266" s="22" t="s">
        <v>100</v>
      </c>
      <c r="F1266" s="22">
        <v>8</v>
      </c>
      <c r="G1266" s="22" t="s">
        <v>229</v>
      </c>
      <c r="H1266" s="5">
        <v>3385.7142857142853</v>
      </c>
      <c r="I1266" s="49" t="s">
        <v>681</v>
      </c>
      <c r="J1266" s="5" t="s">
        <v>102</v>
      </c>
    </row>
    <row r="1267" spans="1:10" ht="30">
      <c r="A1267" s="27" t="s">
        <v>2934</v>
      </c>
      <c r="B1267" s="22" t="s">
        <v>2377</v>
      </c>
      <c r="C1267" s="4" t="s">
        <v>58</v>
      </c>
      <c r="D1267" s="22" t="s">
        <v>2378</v>
      </c>
      <c r="E1267" s="22" t="s">
        <v>100</v>
      </c>
      <c r="F1267" s="22">
        <v>15</v>
      </c>
      <c r="G1267" s="22" t="s">
        <v>229</v>
      </c>
      <c r="H1267" s="5">
        <v>3937.5</v>
      </c>
      <c r="I1267" s="49" t="s">
        <v>681</v>
      </c>
      <c r="J1267" s="5" t="s">
        <v>102</v>
      </c>
    </row>
    <row r="1268" spans="1:10" ht="30">
      <c r="A1268" s="27" t="s">
        <v>2935</v>
      </c>
      <c r="B1268" s="22" t="s">
        <v>2531</v>
      </c>
      <c r="C1268" s="4" t="s">
        <v>58</v>
      </c>
      <c r="D1268" s="22" t="s">
        <v>2296</v>
      </c>
      <c r="E1268" s="22" t="s">
        <v>100</v>
      </c>
      <c r="F1268" s="22">
        <v>6</v>
      </c>
      <c r="G1268" s="22" t="s">
        <v>229</v>
      </c>
      <c r="H1268" s="5">
        <v>3160.7142857142853</v>
      </c>
      <c r="I1268" s="49" t="s">
        <v>681</v>
      </c>
      <c r="J1268" s="5" t="s">
        <v>102</v>
      </c>
    </row>
    <row r="1269" spans="1:10" ht="30">
      <c r="A1269" s="27" t="s">
        <v>2936</v>
      </c>
      <c r="B1269" s="22" t="s">
        <v>2340</v>
      </c>
      <c r="C1269" s="4" t="s">
        <v>58</v>
      </c>
      <c r="D1269" s="22" t="s">
        <v>2341</v>
      </c>
      <c r="E1269" s="22" t="s">
        <v>2342</v>
      </c>
      <c r="F1269" s="22">
        <v>14</v>
      </c>
      <c r="G1269" s="22" t="s">
        <v>229</v>
      </c>
      <c r="H1269" s="5">
        <v>3149.9999999999995</v>
      </c>
      <c r="I1269" s="49" t="s">
        <v>681</v>
      </c>
      <c r="J1269" s="5" t="s">
        <v>102</v>
      </c>
    </row>
    <row r="1270" spans="1:10" ht="30">
      <c r="A1270" s="27" t="s">
        <v>2937</v>
      </c>
      <c r="B1270" s="22" t="s">
        <v>2440</v>
      </c>
      <c r="C1270" s="4" t="s">
        <v>58</v>
      </c>
      <c r="D1270" s="22" t="s">
        <v>2440</v>
      </c>
      <c r="E1270" s="22" t="s">
        <v>100</v>
      </c>
      <c r="F1270" s="22">
        <v>15</v>
      </c>
      <c r="G1270" s="22" t="s">
        <v>229</v>
      </c>
      <c r="H1270" s="5">
        <v>7553.5714285714275</v>
      </c>
      <c r="I1270" s="49" t="s">
        <v>681</v>
      </c>
      <c r="J1270" s="5" t="s">
        <v>102</v>
      </c>
    </row>
    <row r="1271" spans="1:10" ht="30">
      <c r="A1271" s="27" t="s">
        <v>2938</v>
      </c>
      <c r="B1271" s="22" t="s">
        <v>2381</v>
      </c>
      <c r="C1271" s="4" t="s">
        <v>58</v>
      </c>
      <c r="D1271" s="22" t="s">
        <v>2381</v>
      </c>
      <c r="E1271" s="22" t="s">
        <v>100</v>
      </c>
      <c r="F1271" s="22">
        <v>12</v>
      </c>
      <c r="G1271" s="22" t="s">
        <v>229</v>
      </c>
      <c r="H1271" s="5">
        <v>17935.714285714286</v>
      </c>
      <c r="I1271" s="49" t="s">
        <v>681</v>
      </c>
      <c r="J1271" s="5" t="s">
        <v>102</v>
      </c>
    </row>
    <row r="1272" spans="1:10" ht="30">
      <c r="A1272" s="27" t="s">
        <v>2939</v>
      </c>
      <c r="B1272" s="22" t="s">
        <v>2344</v>
      </c>
      <c r="C1272" s="4" t="s">
        <v>58</v>
      </c>
      <c r="D1272" s="22" t="s">
        <v>2344</v>
      </c>
      <c r="E1272" s="22" t="s">
        <v>100</v>
      </c>
      <c r="F1272" s="22">
        <v>4</v>
      </c>
      <c r="G1272" s="22" t="s">
        <v>229</v>
      </c>
      <c r="H1272" s="5">
        <v>3685.7142857142853</v>
      </c>
      <c r="I1272" s="49" t="s">
        <v>681</v>
      </c>
      <c r="J1272" s="5" t="s">
        <v>102</v>
      </c>
    </row>
    <row r="1273" spans="1:10" ht="30">
      <c r="A1273" s="27" t="s">
        <v>2940</v>
      </c>
      <c r="B1273" s="22" t="s">
        <v>2346</v>
      </c>
      <c r="C1273" s="4" t="s">
        <v>58</v>
      </c>
      <c r="D1273" s="22" t="s">
        <v>2346</v>
      </c>
      <c r="E1273" s="22" t="s">
        <v>100</v>
      </c>
      <c r="F1273" s="22">
        <v>12</v>
      </c>
      <c r="G1273" s="22" t="s">
        <v>229</v>
      </c>
      <c r="H1273" s="5">
        <v>7649.9999999999982</v>
      </c>
      <c r="I1273" s="49" t="s">
        <v>681</v>
      </c>
      <c r="J1273" s="5" t="s">
        <v>102</v>
      </c>
    </row>
    <row r="1274" spans="1:10" ht="30">
      <c r="A1274" s="27" t="s">
        <v>2941</v>
      </c>
      <c r="B1274" s="22" t="s">
        <v>2551</v>
      </c>
      <c r="C1274" s="4" t="s">
        <v>58</v>
      </c>
      <c r="D1274" s="22" t="s">
        <v>2551</v>
      </c>
      <c r="E1274" s="22" t="s">
        <v>100</v>
      </c>
      <c r="F1274" s="22">
        <v>10</v>
      </c>
      <c r="G1274" s="22" t="s">
        <v>229</v>
      </c>
      <c r="H1274" s="5">
        <v>580.35714285714278</v>
      </c>
      <c r="I1274" s="49" t="s">
        <v>681</v>
      </c>
      <c r="J1274" s="5" t="s">
        <v>102</v>
      </c>
    </row>
    <row r="1275" spans="1:10" ht="45">
      <c r="A1275" s="27" t="s">
        <v>2942</v>
      </c>
      <c r="B1275" s="22" t="s">
        <v>2447</v>
      </c>
      <c r="C1275" s="4" t="s">
        <v>58</v>
      </c>
      <c r="D1275" s="22" t="s">
        <v>2448</v>
      </c>
      <c r="E1275" s="22" t="s">
        <v>100</v>
      </c>
      <c r="F1275" s="22">
        <v>8</v>
      </c>
      <c r="G1275" s="22" t="s">
        <v>229</v>
      </c>
      <c r="H1275" s="5">
        <v>9428.5714285714275</v>
      </c>
      <c r="I1275" s="49" t="s">
        <v>681</v>
      </c>
      <c r="J1275" s="5" t="s">
        <v>102</v>
      </c>
    </row>
    <row r="1276" spans="1:10" ht="30">
      <c r="A1276" s="27" t="s">
        <v>2943</v>
      </c>
      <c r="B1276" s="22" t="s">
        <v>2944</v>
      </c>
      <c r="C1276" s="4" t="s">
        <v>58</v>
      </c>
      <c r="D1276" s="22" t="s">
        <v>2945</v>
      </c>
      <c r="E1276" s="22" t="s">
        <v>100</v>
      </c>
      <c r="F1276" s="22">
        <v>12</v>
      </c>
      <c r="G1276" s="22" t="s">
        <v>229</v>
      </c>
      <c r="H1276" s="5">
        <v>3642.8571428571427</v>
      </c>
      <c r="I1276" s="49" t="s">
        <v>681</v>
      </c>
      <c r="J1276" s="5" t="s">
        <v>102</v>
      </c>
    </row>
    <row r="1277" spans="1:10" ht="30">
      <c r="A1277" s="27" t="s">
        <v>2946</v>
      </c>
      <c r="B1277" s="22" t="s">
        <v>2332</v>
      </c>
      <c r="C1277" s="4" t="s">
        <v>58</v>
      </c>
      <c r="D1277" s="22" t="s">
        <v>2947</v>
      </c>
      <c r="E1277" s="22" t="s">
        <v>100</v>
      </c>
      <c r="F1277" s="22">
        <v>12</v>
      </c>
      <c r="G1277" s="22" t="s">
        <v>229</v>
      </c>
      <c r="H1277" s="5">
        <v>6985.7142857142853</v>
      </c>
      <c r="I1277" s="49" t="s">
        <v>681</v>
      </c>
      <c r="J1277" s="5" t="s">
        <v>102</v>
      </c>
    </row>
    <row r="1278" spans="1:10" ht="30">
      <c r="A1278" s="27" t="s">
        <v>2948</v>
      </c>
      <c r="B1278" s="22" t="s">
        <v>2450</v>
      </c>
      <c r="C1278" s="4" t="s">
        <v>58</v>
      </c>
      <c r="D1278" s="22" t="s">
        <v>2450</v>
      </c>
      <c r="E1278" s="22" t="s">
        <v>100</v>
      </c>
      <c r="F1278" s="22">
        <v>7</v>
      </c>
      <c r="G1278" s="22" t="s">
        <v>229</v>
      </c>
      <c r="H1278" s="5">
        <v>731.25</v>
      </c>
      <c r="I1278" s="49" t="s">
        <v>681</v>
      </c>
      <c r="J1278" s="5" t="s">
        <v>102</v>
      </c>
    </row>
    <row r="1279" spans="1:10" ht="30">
      <c r="A1279" s="27" t="s">
        <v>2949</v>
      </c>
      <c r="B1279" s="22" t="s">
        <v>2452</v>
      </c>
      <c r="C1279" s="4" t="s">
        <v>58</v>
      </c>
      <c r="D1279" s="22" t="s">
        <v>2452</v>
      </c>
      <c r="E1279" s="22" t="s">
        <v>100</v>
      </c>
      <c r="F1279" s="22">
        <v>6</v>
      </c>
      <c r="G1279" s="22" t="s">
        <v>229</v>
      </c>
      <c r="H1279" s="5">
        <v>1783.9285714285713</v>
      </c>
      <c r="I1279" s="49" t="s">
        <v>681</v>
      </c>
      <c r="J1279" s="5" t="s">
        <v>102</v>
      </c>
    </row>
    <row r="1280" spans="1:10" ht="30">
      <c r="A1280" s="27" t="s">
        <v>2950</v>
      </c>
      <c r="B1280" s="22" t="s">
        <v>2670</v>
      </c>
      <c r="C1280" s="4" t="s">
        <v>58</v>
      </c>
      <c r="D1280" s="22" t="s">
        <v>2671</v>
      </c>
      <c r="E1280" s="22" t="s">
        <v>100</v>
      </c>
      <c r="F1280" s="22">
        <v>5</v>
      </c>
      <c r="G1280" s="22" t="s">
        <v>229</v>
      </c>
      <c r="H1280" s="5">
        <v>1540.1785714285713</v>
      </c>
      <c r="I1280" s="49" t="s">
        <v>681</v>
      </c>
      <c r="J1280" s="5" t="s">
        <v>102</v>
      </c>
    </row>
    <row r="1281" spans="1:10" ht="30">
      <c r="A1281" s="27" t="s">
        <v>2951</v>
      </c>
      <c r="B1281" s="17" t="s">
        <v>2454</v>
      </c>
      <c r="C1281" s="4" t="s">
        <v>58</v>
      </c>
      <c r="D1281" s="22" t="s">
        <v>2454</v>
      </c>
      <c r="E1281" s="22" t="s">
        <v>100</v>
      </c>
      <c r="F1281" s="22">
        <v>1</v>
      </c>
      <c r="G1281" s="22" t="s">
        <v>229</v>
      </c>
      <c r="H1281" s="5">
        <v>1098.2142857142856</v>
      </c>
      <c r="I1281" s="49" t="s">
        <v>681</v>
      </c>
      <c r="J1281" s="5" t="s">
        <v>102</v>
      </c>
    </row>
    <row r="1282" spans="1:10" ht="45">
      <c r="A1282" s="27" t="s">
        <v>2952</v>
      </c>
      <c r="B1282" s="17" t="s">
        <v>603</v>
      </c>
      <c r="C1282" s="4" t="s">
        <v>58</v>
      </c>
      <c r="D1282" s="22" t="s">
        <v>2350</v>
      </c>
      <c r="E1282" s="22" t="s">
        <v>604</v>
      </c>
      <c r="F1282" s="22">
        <v>49</v>
      </c>
      <c r="G1282" s="22" t="s">
        <v>2953</v>
      </c>
      <c r="H1282" s="5">
        <v>59196.428571428565</v>
      </c>
      <c r="I1282" s="49" t="s">
        <v>681</v>
      </c>
      <c r="J1282" s="5" t="s">
        <v>102</v>
      </c>
    </row>
    <row r="1283" spans="1:10" ht="45">
      <c r="A1283" s="27" t="s">
        <v>2954</v>
      </c>
      <c r="B1283" s="22" t="s">
        <v>2352</v>
      </c>
      <c r="C1283" s="4" t="s">
        <v>58</v>
      </c>
      <c r="D1283" s="22" t="s">
        <v>2353</v>
      </c>
      <c r="E1283" s="22" t="s">
        <v>100</v>
      </c>
      <c r="F1283" s="22">
        <v>10</v>
      </c>
      <c r="G1283" s="22" t="s">
        <v>2953</v>
      </c>
      <c r="H1283" s="5">
        <v>589.28571428571422</v>
      </c>
      <c r="I1283" s="49" t="s">
        <v>681</v>
      </c>
      <c r="J1283" s="5" t="s">
        <v>102</v>
      </c>
    </row>
    <row r="1284" spans="1:10" ht="45">
      <c r="A1284" s="27" t="s">
        <v>2955</v>
      </c>
      <c r="B1284" s="17" t="s">
        <v>2355</v>
      </c>
      <c r="C1284" s="4" t="s">
        <v>58</v>
      </c>
      <c r="D1284" s="22" t="s">
        <v>2356</v>
      </c>
      <c r="E1284" s="22" t="s">
        <v>100</v>
      </c>
      <c r="F1284" s="22">
        <v>7</v>
      </c>
      <c r="G1284" s="22" t="s">
        <v>2953</v>
      </c>
      <c r="H1284" s="5">
        <v>5571.4285714285706</v>
      </c>
      <c r="I1284" s="49" t="s">
        <v>681</v>
      </c>
      <c r="J1284" s="5" t="s">
        <v>102</v>
      </c>
    </row>
    <row r="1285" spans="1:10" ht="45">
      <c r="A1285" s="27" t="s">
        <v>2956</v>
      </c>
      <c r="B1285" s="22" t="s">
        <v>2355</v>
      </c>
      <c r="C1285" s="4" t="s">
        <v>58</v>
      </c>
      <c r="D1285" s="22" t="s">
        <v>2358</v>
      </c>
      <c r="E1285" s="22" t="s">
        <v>100</v>
      </c>
      <c r="F1285" s="22">
        <v>5</v>
      </c>
      <c r="G1285" s="22" t="s">
        <v>2953</v>
      </c>
      <c r="H1285" s="5">
        <v>2651.7857142857138</v>
      </c>
      <c r="I1285" s="49" t="s">
        <v>681</v>
      </c>
      <c r="J1285" s="5" t="s">
        <v>102</v>
      </c>
    </row>
    <row r="1286" spans="1:10" ht="45">
      <c r="A1286" s="27" t="s">
        <v>2957</v>
      </c>
      <c r="B1286" s="22" t="s">
        <v>2458</v>
      </c>
      <c r="C1286" s="4" t="s">
        <v>58</v>
      </c>
      <c r="D1286" s="22" t="s">
        <v>2459</v>
      </c>
      <c r="E1286" s="22" t="s">
        <v>100</v>
      </c>
      <c r="F1286" s="22">
        <v>2</v>
      </c>
      <c r="G1286" s="22" t="s">
        <v>2953</v>
      </c>
      <c r="H1286" s="5">
        <v>642.85714285714278</v>
      </c>
      <c r="I1286" s="49" t="s">
        <v>681</v>
      </c>
      <c r="J1286" s="5" t="s">
        <v>102</v>
      </c>
    </row>
    <row r="1287" spans="1:10" ht="45">
      <c r="A1287" s="27" t="s">
        <v>2958</v>
      </c>
      <c r="B1287" s="22" t="s">
        <v>2461</v>
      </c>
      <c r="C1287" s="4" t="s">
        <v>58</v>
      </c>
      <c r="D1287" s="22" t="s">
        <v>2462</v>
      </c>
      <c r="E1287" s="22" t="s">
        <v>100</v>
      </c>
      <c r="F1287" s="22">
        <v>2</v>
      </c>
      <c r="G1287" s="22" t="s">
        <v>2953</v>
      </c>
      <c r="H1287" s="5">
        <v>642.85714285714278</v>
      </c>
      <c r="I1287" s="49" t="s">
        <v>681</v>
      </c>
      <c r="J1287" s="5" t="s">
        <v>102</v>
      </c>
    </row>
    <row r="1288" spans="1:10" ht="45">
      <c r="A1288" s="27" t="s">
        <v>2959</v>
      </c>
      <c r="B1288" s="22" t="s">
        <v>2362</v>
      </c>
      <c r="C1288" s="4" t="s">
        <v>58</v>
      </c>
      <c r="D1288" s="22" t="s">
        <v>2489</v>
      </c>
      <c r="E1288" s="22" t="s">
        <v>100</v>
      </c>
      <c r="F1288" s="22">
        <v>30</v>
      </c>
      <c r="G1288" s="22" t="s">
        <v>2953</v>
      </c>
      <c r="H1288" s="5">
        <v>2089.2857142857142</v>
      </c>
      <c r="I1288" s="49" t="s">
        <v>681</v>
      </c>
      <c r="J1288" s="5" t="s">
        <v>102</v>
      </c>
    </row>
    <row r="1289" spans="1:10" ht="45">
      <c r="A1289" s="27" t="s">
        <v>2960</v>
      </c>
      <c r="B1289" s="22" t="s">
        <v>2362</v>
      </c>
      <c r="C1289" s="4" t="s">
        <v>58</v>
      </c>
      <c r="D1289" s="22" t="s">
        <v>2363</v>
      </c>
      <c r="E1289" s="22" t="s">
        <v>100</v>
      </c>
      <c r="F1289" s="22">
        <v>90</v>
      </c>
      <c r="G1289" s="22" t="s">
        <v>2953</v>
      </c>
      <c r="H1289" s="5">
        <v>2410.7142857142858</v>
      </c>
      <c r="I1289" s="49" t="s">
        <v>681</v>
      </c>
      <c r="J1289" s="5" t="s">
        <v>102</v>
      </c>
    </row>
    <row r="1290" spans="1:10" ht="45">
      <c r="A1290" s="27" t="s">
        <v>2961</v>
      </c>
      <c r="B1290" s="22" t="s">
        <v>2388</v>
      </c>
      <c r="C1290" s="4" t="s">
        <v>58</v>
      </c>
      <c r="D1290" s="22" t="s">
        <v>2389</v>
      </c>
      <c r="E1290" s="22" t="s">
        <v>100</v>
      </c>
      <c r="F1290" s="22">
        <v>40</v>
      </c>
      <c r="G1290" s="22" t="s">
        <v>2953</v>
      </c>
      <c r="H1290" s="5">
        <v>514.28571428571422</v>
      </c>
      <c r="I1290" s="49" t="s">
        <v>681</v>
      </c>
      <c r="J1290" s="5" t="s">
        <v>102</v>
      </c>
    </row>
    <row r="1291" spans="1:10" ht="45">
      <c r="A1291" s="27" t="s">
        <v>2962</v>
      </c>
      <c r="B1291" s="17" t="s">
        <v>2212</v>
      </c>
      <c r="C1291" s="4" t="s">
        <v>58</v>
      </c>
      <c r="D1291" s="22" t="s">
        <v>2213</v>
      </c>
      <c r="E1291" s="22" t="s">
        <v>100</v>
      </c>
      <c r="F1291" s="22">
        <v>4</v>
      </c>
      <c r="G1291" s="22" t="s">
        <v>2953</v>
      </c>
      <c r="H1291" s="5">
        <v>3369.6428571428569</v>
      </c>
      <c r="I1291" s="49" t="s">
        <v>681</v>
      </c>
      <c r="J1291" s="5" t="s">
        <v>102</v>
      </c>
    </row>
    <row r="1292" spans="1:10" ht="45">
      <c r="A1292" s="27" t="s">
        <v>2963</v>
      </c>
      <c r="B1292" s="17" t="s">
        <v>2212</v>
      </c>
      <c r="C1292" s="4" t="s">
        <v>58</v>
      </c>
      <c r="D1292" s="22" t="s">
        <v>2494</v>
      </c>
      <c r="E1292" s="22" t="s">
        <v>100</v>
      </c>
      <c r="F1292" s="22">
        <v>4</v>
      </c>
      <c r="G1292" s="22" t="s">
        <v>2953</v>
      </c>
      <c r="H1292" s="5">
        <v>3723.2142857142853</v>
      </c>
      <c r="I1292" s="49" t="s">
        <v>681</v>
      </c>
      <c r="J1292" s="5" t="s">
        <v>102</v>
      </c>
    </row>
    <row r="1293" spans="1:10" ht="45">
      <c r="A1293" s="27" t="s">
        <v>2964</v>
      </c>
      <c r="B1293" s="22" t="s">
        <v>2313</v>
      </c>
      <c r="C1293" s="4" t="s">
        <v>58</v>
      </c>
      <c r="D1293" s="22" t="s">
        <v>2313</v>
      </c>
      <c r="E1293" s="22" t="s">
        <v>100</v>
      </c>
      <c r="F1293" s="22">
        <v>30</v>
      </c>
      <c r="G1293" s="22" t="s">
        <v>2953</v>
      </c>
      <c r="H1293" s="5">
        <v>1071.4285714285713</v>
      </c>
      <c r="I1293" s="49" t="s">
        <v>681</v>
      </c>
      <c r="J1293" s="5" t="s">
        <v>102</v>
      </c>
    </row>
    <row r="1294" spans="1:10" ht="45">
      <c r="A1294" s="27" t="s">
        <v>2965</v>
      </c>
      <c r="B1294" s="22" t="s">
        <v>2276</v>
      </c>
      <c r="C1294" s="4" t="s">
        <v>58</v>
      </c>
      <c r="D1294" s="22" t="s">
        <v>2684</v>
      </c>
      <c r="E1294" s="22" t="s">
        <v>100</v>
      </c>
      <c r="F1294" s="22">
        <v>8</v>
      </c>
      <c r="G1294" s="22" t="s">
        <v>2953</v>
      </c>
      <c r="H1294" s="5">
        <v>1157.1428571428571</v>
      </c>
      <c r="I1294" s="49" t="s">
        <v>681</v>
      </c>
      <c r="J1294" s="5" t="s">
        <v>102</v>
      </c>
    </row>
    <row r="1295" spans="1:10" ht="45">
      <c r="A1295" s="27" t="s">
        <v>2966</v>
      </c>
      <c r="B1295" s="17" t="s">
        <v>2276</v>
      </c>
      <c r="C1295" s="4" t="s">
        <v>58</v>
      </c>
      <c r="D1295" s="22" t="s">
        <v>2315</v>
      </c>
      <c r="E1295" s="22" t="s">
        <v>2316</v>
      </c>
      <c r="F1295" s="22">
        <v>4</v>
      </c>
      <c r="G1295" s="22" t="s">
        <v>2953</v>
      </c>
      <c r="H1295" s="5">
        <v>3749.9999999999995</v>
      </c>
      <c r="I1295" s="49" t="s">
        <v>681</v>
      </c>
      <c r="J1295" s="5" t="s">
        <v>102</v>
      </c>
    </row>
    <row r="1296" spans="1:10" ht="45">
      <c r="A1296" s="27" t="s">
        <v>2967</v>
      </c>
      <c r="B1296" s="22" t="s">
        <v>2180</v>
      </c>
      <c r="C1296" s="4" t="s">
        <v>58</v>
      </c>
      <c r="D1296" s="22" t="s">
        <v>2318</v>
      </c>
      <c r="E1296" s="22" t="s">
        <v>100</v>
      </c>
      <c r="F1296" s="22">
        <v>150</v>
      </c>
      <c r="G1296" s="22" t="s">
        <v>2953</v>
      </c>
      <c r="H1296" s="5">
        <v>10044.642857142857</v>
      </c>
      <c r="I1296" s="49" t="s">
        <v>681</v>
      </c>
      <c r="J1296" s="5" t="s">
        <v>102</v>
      </c>
    </row>
    <row r="1297" spans="1:10" ht="45">
      <c r="A1297" s="27" t="s">
        <v>2968</v>
      </c>
      <c r="B1297" s="22" t="s">
        <v>2180</v>
      </c>
      <c r="C1297" s="4" t="s">
        <v>58</v>
      </c>
      <c r="D1297" s="22" t="s">
        <v>2393</v>
      </c>
      <c r="E1297" s="22" t="s">
        <v>100</v>
      </c>
      <c r="F1297" s="22">
        <v>40</v>
      </c>
      <c r="G1297" s="22" t="s">
        <v>2953</v>
      </c>
      <c r="H1297" s="5">
        <v>3999.9999999999995</v>
      </c>
      <c r="I1297" s="49" t="s">
        <v>681</v>
      </c>
      <c r="J1297" s="5" t="s">
        <v>102</v>
      </c>
    </row>
    <row r="1298" spans="1:10" ht="45">
      <c r="A1298" s="27" t="s">
        <v>2969</v>
      </c>
      <c r="B1298" s="22" t="s">
        <v>1253</v>
      </c>
      <c r="C1298" s="4" t="s">
        <v>58</v>
      </c>
      <c r="D1298" s="22" t="s">
        <v>2320</v>
      </c>
      <c r="E1298" s="22" t="s">
        <v>100</v>
      </c>
      <c r="F1298" s="22">
        <v>15</v>
      </c>
      <c r="G1298" s="22" t="s">
        <v>2953</v>
      </c>
      <c r="H1298" s="5">
        <v>4098.2142857142853</v>
      </c>
      <c r="I1298" s="49" t="s">
        <v>681</v>
      </c>
      <c r="J1298" s="5" t="s">
        <v>102</v>
      </c>
    </row>
    <row r="1299" spans="1:10" ht="45">
      <c r="A1299" s="27" t="s">
        <v>2970</v>
      </c>
      <c r="B1299" s="22" t="s">
        <v>2287</v>
      </c>
      <c r="C1299" s="4" t="s">
        <v>58</v>
      </c>
      <c r="D1299" s="22" t="s">
        <v>2322</v>
      </c>
      <c r="E1299" s="22" t="s">
        <v>100</v>
      </c>
      <c r="F1299" s="22">
        <v>15</v>
      </c>
      <c r="G1299" s="22" t="s">
        <v>2953</v>
      </c>
      <c r="H1299" s="5">
        <v>6348.2142857142853</v>
      </c>
      <c r="I1299" s="49" t="s">
        <v>681</v>
      </c>
      <c r="J1299" s="5" t="s">
        <v>102</v>
      </c>
    </row>
    <row r="1300" spans="1:10" ht="45">
      <c r="A1300" s="27" t="s">
        <v>2971</v>
      </c>
      <c r="B1300" s="22" t="s">
        <v>2396</v>
      </c>
      <c r="C1300" s="4" t="s">
        <v>58</v>
      </c>
      <c r="D1300" s="22" t="s">
        <v>2396</v>
      </c>
      <c r="E1300" s="22" t="s">
        <v>100</v>
      </c>
      <c r="F1300" s="22">
        <v>5</v>
      </c>
      <c r="G1300" s="22" t="s">
        <v>2953</v>
      </c>
      <c r="H1300" s="5">
        <v>455.35714285714283</v>
      </c>
      <c r="I1300" s="49" t="s">
        <v>681</v>
      </c>
      <c r="J1300" s="5" t="s">
        <v>102</v>
      </c>
    </row>
    <row r="1301" spans="1:10" ht="45">
      <c r="A1301" s="27" t="s">
        <v>2972</v>
      </c>
      <c r="B1301" s="22" t="s">
        <v>1253</v>
      </c>
      <c r="C1301" s="4" t="s">
        <v>58</v>
      </c>
      <c r="D1301" s="22" t="s">
        <v>2324</v>
      </c>
      <c r="E1301" s="22" t="s">
        <v>100</v>
      </c>
      <c r="F1301" s="22">
        <v>1</v>
      </c>
      <c r="G1301" s="22" t="s">
        <v>2953</v>
      </c>
      <c r="H1301" s="5">
        <v>1323.2142857142856</v>
      </c>
      <c r="I1301" s="49" t="s">
        <v>681</v>
      </c>
      <c r="J1301" s="5" t="s">
        <v>102</v>
      </c>
    </row>
    <row r="1302" spans="1:10" ht="45">
      <c r="A1302" s="27" t="s">
        <v>2973</v>
      </c>
      <c r="B1302" s="22" t="s">
        <v>2326</v>
      </c>
      <c r="C1302" s="4" t="s">
        <v>58</v>
      </c>
      <c r="D1302" s="22" t="s">
        <v>2326</v>
      </c>
      <c r="E1302" s="22" t="s">
        <v>100</v>
      </c>
      <c r="F1302" s="22">
        <v>60</v>
      </c>
      <c r="G1302" s="22" t="s">
        <v>2953</v>
      </c>
      <c r="H1302" s="5">
        <v>771.42857142857133</v>
      </c>
      <c r="I1302" s="49" t="s">
        <v>681</v>
      </c>
      <c r="J1302" s="5" t="s">
        <v>102</v>
      </c>
    </row>
    <row r="1303" spans="1:10" ht="45">
      <c r="A1303" s="27" t="s">
        <v>2974</v>
      </c>
      <c r="B1303" s="22" t="s">
        <v>2248</v>
      </c>
      <c r="C1303" s="4" t="s">
        <v>58</v>
      </c>
      <c r="D1303" s="22" t="s">
        <v>2248</v>
      </c>
      <c r="E1303" s="22" t="s">
        <v>100</v>
      </c>
      <c r="F1303" s="22">
        <v>10</v>
      </c>
      <c r="G1303" s="22" t="s">
        <v>2953</v>
      </c>
      <c r="H1303" s="5">
        <v>857.14285714285711</v>
      </c>
      <c r="I1303" s="49" t="s">
        <v>681</v>
      </c>
      <c r="J1303" s="5" t="s">
        <v>102</v>
      </c>
    </row>
    <row r="1304" spans="1:10" ht="45">
      <c r="A1304" s="27" t="s">
        <v>2975</v>
      </c>
      <c r="B1304" s="22" t="s">
        <v>2208</v>
      </c>
      <c r="C1304" s="4" t="s">
        <v>58</v>
      </c>
      <c r="D1304" s="22" t="s">
        <v>2208</v>
      </c>
      <c r="E1304" s="22" t="s">
        <v>100</v>
      </c>
      <c r="F1304" s="22">
        <v>10</v>
      </c>
      <c r="G1304" s="22" t="s">
        <v>2953</v>
      </c>
      <c r="H1304" s="5">
        <v>428.57142857142856</v>
      </c>
      <c r="I1304" s="49" t="s">
        <v>681</v>
      </c>
      <c r="J1304" s="5" t="s">
        <v>102</v>
      </c>
    </row>
    <row r="1305" spans="1:10" ht="45">
      <c r="A1305" s="27" t="s">
        <v>2976</v>
      </c>
      <c r="B1305" s="22" t="s">
        <v>2505</v>
      </c>
      <c r="C1305" s="4" t="s">
        <v>58</v>
      </c>
      <c r="D1305" s="22" t="s">
        <v>2506</v>
      </c>
      <c r="E1305" s="22" t="s">
        <v>100</v>
      </c>
      <c r="F1305" s="22">
        <v>10</v>
      </c>
      <c r="G1305" s="22" t="s">
        <v>2953</v>
      </c>
      <c r="H1305" s="5">
        <v>749.99999999999989</v>
      </c>
      <c r="I1305" s="49" t="s">
        <v>681</v>
      </c>
      <c r="J1305" s="5" t="s">
        <v>102</v>
      </c>
    </row>
    <row r="1306" spans="1:10" ht="45">
      <c r="A1306" s="27" t="s">
        <v>2977</v>
      </c>
      <c r="B1306" s="22" t="s">
        <v>2401</v>
      </c>
      <c r="C1306" s="4" t="s">
        <v>58</v>
      </c>
      <c r="D1306" s="22" t="s">
        <v>2401</v>
      </c>
      <c r="E1306" s="22" t="s">
        <v>100</v>
      </c>
      <c r="F1306" s="22">
        <v>2</v>
      </c>
      <c r="G1306" s="22" t="s">
        <v>2953</v>
      </c>
      <c r="H1306" s="5">
        <v>578.57142857142856</v>
      </c>
      <c r="I1306" s="49" t="s">
        <v>681</v>
      </c>
      <c r="J1306" s="5" t="s">
        <v>102</v>
      </c>
    </row>
    <row r="1307" spans="1:10" ht="45">
      <c r="A1307" s="27" t="s">
        <v>2978</v>
      </c>
      <c r="B1307" s="22" t="s">
        <v>2403</v>
      </c>
      <c r="C1307" s="4" t="s">
        <v>58</v>
      </c>
      <c r="D1307" s="22" t="s">
        <v>2403</v>
      </c>
      <c r="E1307" s="22" t="s">
        <v>100</v>
      </c>
      <c r="F1307" s="22">
        <v>10</v>
      </c>
      <c r="G1307" s="22" t="s">
        <v>2953</v>
      </c>
      <c r="H1307" s="5">
        <v>1767.8571428571427</v>
      </c>
      <c r="I1307" s="49" t="s">
        <v>681</v>
      </c>
      <c r="J1307" s="5" t="s">
        <v>102</v>
      </c>
    </row>
    <row r="1308" spans="1:10" ht="45">
      <c r="A1308" s="27" t="s">
        <v>2979</v>
      </c>
      <c r="B1308" s="22" t="s">
        <v>2171</v>
      </c>
      <c r="C1308" s="4" t="s">
        <v>58</v>
      </c>
      <c r="D1308" s="22" t="s">
        <v>2407</v>
      </c>
      <c r="E1308" s="22" t="s">
        <v>100</v>
      </c>
      <c r="F1308" s="22">
        <v>1</v>
      </c>
      <c r="G1308" s="22" t="s">
        <v>2953</v>
      </c>
      <c r="H1308" s="5">
        <v>3874.9999999999995</v>
      </c>
      <c r="I1308" s="49" t="s">
        <v>681</v>
      </c>
      <c r="J1308" s="5" t="s">
        <v>102</v>
      </c>
    </row>
    <row r="1309" spans="1:10" ht="45">
      <c r="A1309" s="27" t="s">
        <v>2980</v>
      </c>
      <c r="B1309" s="22" t="s">
        <v>2305</v>
      </c>
      <c r="C1309" s="4" t="s">
        <v>58</v>
      </c>
      <c r="D1309" s="22" t="s">
        <v>2305</v>
      </c>
      <c r="E1309" s="22" t="s">
        <v>604</v>
      </c>
      <c r="F1309" s="22">
        <v>30</v>
      </c>
      <c r="G1309" s="22" t="s">
        <v>2953</v>
      </c>
      <c r="H1309" s="5">
        <v>5946.4285714285706</v>
      </c>
      <c r="I1309" s="49" t="s">
        <v>681</v>
      </c>
      <c r="J1309" s="5" t="s">
        <v>102</v>
      </c>
    </row>
    <row r="1310" spans="1:10" ht="45">
      <c r="A1310" s="27" t="s">
        <v>2981</v>
      </c>
      <c r="B1310" s="22" t="s">
        <v>2238</v>
      </c>
      <c r="C1310" s="4" t="s">
        <v>58</v>
      </c>
      <c r="D1310" s="22" t="s">
        <v>2225</v>
      </c>
      <c r="E1310" s="22" t="s">
        <v>604</v>
      </c>
      <c r="F1310" s="22">
        <v>20</v>
      </c>
      <c r="G1310" s="22" t="s">
        <v>2953</v>
      </c>
      <c r="H1310" s="5">
        <v>1714.2857142857142</v>
      </c>
      <c r="I1310" s="49" t="s">
        <v>681</v>
      </c>
      <c r="J1310" s="5" t="s">
        <v>102</v>
      </c>
    </row>
    <row r="1311" spans="1:10" ht="45">
      <c r="A1311" s="27" t="s">
        <v>2982</v>
      </c>
      <c r="B1311" s="22" t="s">
        <v>2369</v>
      </c>
      <c r="C1311" s="4" t="s">
        <v>58</v>
      </c>
      <c r="D1311" s="22" t="s">
        <v>2369</v>
      </c>
      <c r="E1311" s="22" t="s">
        <v>604</v>
      </c>
      <c r="F1311" s="22">
        <v>20</v>
      </c>
      <c r="G1311" s="22" t="s">
        <v>2953</v>
      </c>
      <c r="H1311" s="5">
        <v>964.28571428571422</v>
      </c>
      <c r="I1311" s="49" t="s">
        <v>681</v>
      </c>
      <c r="J1311" s="5" t="s">
        <v>102</v>
      </c>
    </row>
    <row r="1312" spans="1:10" ht="45">
      <c r="A1312" s="27" t="s">
        <v>2983</v>
      </c>
      <c r="B1312" s="22" t="s">
        <v>2233</v>
      </c>
      <c r="C1312" s="4" t="s">
        <v>58</v>
      </c>
      <c r="D1312" s="22" t="s">
        <v>2412</v>
      </c>
      <c r="E1312" s="22" t="s">
        <v>100</v>
      </c>
      <c r="F1312" s="22">
        <v>10</v>
      </c>
      <c r="G1312" s="22" t="s">
        <v>2953</v>
      </c>
      <c r="H1312" s="5">
        <v>5142.8571428571422</v>
      </c>
      <c r="I1312" s="49" t="s">
        <v>681</v>
      </c>
      <c r="J1312" s="5" t="s">
        <v>102</v>
      </c>
    </row>
    <row r="1313" spans="1:10" ht="45">
      <c r="A1313" s="27" t="s">
        <v>2984</v>
      </c>
      <c r="B1313" s="22" t="s">
        <v>2233</v>
      </c>
      <c r="C1313" s="4" t="s">
        <v>58</v>
      </c>
      <c r="D1313" s="22" t="s">
        <v>2414</v>
      </c>
      <c r="E1313" s="22" t="s">
        <v>100</v>
      </c>
      <c r="F1313" s="22">
        <v>10</v>
      </c>
      <c r="G1313" s="22" t="s">
        <v>2953</v>
      </c>
      <c r="H1313" s="5">
        <v>7339.2857142857138</v>
      </c>
      <c r="I1313" s="49" t="s">
        <v>681</v>
      </c>
      <c r="J1313" s="5" t="s">
        <v>102</v>
      </c>
    </row>
    <row r="1314" spans="1:10" ht="45">
      <c r="A1314" s="27" t="s">
        <v>2985</v>
      </c>
      <c r="B1314" s="22" t="s">
        <v>2174</v>
      </c>
      <c r="C1314" s="4" t="s">
        <v>58</v>
      </c>
      <c r="D1314" s="22" t="s">
        <v>2174</v>
      </c>
      <c r="E1314" s="22" t="s">
        <v>100</v>
      </c>
      <c r="F1314" s="22">
        <v>10</v>
      </c>
      <c r="G1314" s="22" t="s">
        <v>2953</v>
      </c>
      <c r="H1314" s="5">
        <v>1339.2857142857142</v>
      </c>
      <c r="I1314" s="49" t="s">
        <v>681</v>
      </c>
      <c r="J1314" s="5" t="s">
        <v>102</v>
      </c>
    </row>
    <row r="1315" spans="1:10" ht="45">
      <c r="A1315" s="27" t="s">
        <v>2986</v>
      </c>
      <c r="B1315" s="22" t="s">
        <v>2417</v>
      </c>
      <c r="C1315" s="4" t="s">
        <v>58</v>
      </c>
      <c r="D1315" s="22" t="s">
        <v>2418</v>
      </c>
      <c r="E1315" s="22" t="s">
        <v>604</v>
      </c>
      <c r="F1315" s="22">
        <v>5</v>
      </c>
      <c r="G1315" s="22" t="s">
        <v>2953</v>
      </c>
      <c r="H1315" s="5">
        <v>749.99999999999989</v>
      </c>
      <c r="I1315" s="49" t="s">
        <v>681</v>
      </c>
      <c r="J1315" s="5" t="s">
        <v>102</v>
      </c>
    </row>
    <row r="1316" spans="1:10" ht="45">
      <c r="A1316" s="27" t="s">
        <v>2987</v>
      </c>
      <c r="B1316" s="22" t="s">
        <v>2417</v>
      </c>
      <c r="C1316" s="4" t="s">
        <v>58</v>
      </c>
      <c r="D1316" s="22" t="s">
        <v>2420</v>
      </c>
      <c r="E1316" s="22" t="s">
        <v>604</v>
      </c>
      <c r="F1316" s="22">
        <v>5</v>
      </c>
      <c r="G1316" s="22" t="s">
        <v>2953</v>
      </c>
      <c r="H1316" s="5">
        <v>1928.5714285714284</v>
      </c>
      <c r="I1316" s="49" t="s">
        <v>681</v>
      </c>
      <c r="J1316" s="5" t="s">
        <v>102</v>
      </c>
    </row>
    <row r="1317" spans="1:10" ht="45">
      <c r="A1317" s="27" t="s">
        <v>2988</v>
      </c>
      <c r="B1317" s="22" t="s">
        <v>2417</v>
      </c>
      <c r="C1317" s="4" t="s">
        <v>58</v>
      </c>
      <c r="D1317" s="22" t="s">
        <v>2422</v>
      </c>
      <c r="E1317" s="22" t="s">
        <v>604</v>
      </c>
      <c r="F1317" s="22">
        <v>5</v>
      </c>
      <c r="G1317" s="22" t="s">
        <v>2953</v>
      </c>
      <c r="H1317" s="5">
        <v>3187.4999999999995</v>
      </c>
      <c r="I1317" s="49" t="s">
        <v>681</v>
      </c>
      <c r="J1317" s="5" t="s">
        <v>102</v>
      </c>
    </row>
    <row r="1318" spans="1:10" ht="45">
      <c r="A1318" s="27" t="s">
        <v>2989</v>
      </c>
      <c r="B1318" s="22" t="s">
        <v>2203</v>
      </c>
      <c r="C1318" s="4" t="s">
        <v>58</v>
      </c>
      <c r="D1318" s="22" t="s">
        <v>2204</v>
      </c>
      <c r="E1318" s="22" t="s">
        <v>100</v>
      </c>
      <c r="F1318" s="22">
        <v>25</v>
      </c>
      <c r="G1318" s="22" t="s">
        <v>2953</v>
      </c>
      <c r="H1318" s="5">
        <v>3749.9999999999991</v>
      </c>
      <c r="I1318" s="49" t="s">
        <v>681</v>
      </c>
      <c r="J1318" s="5" t="s">
        <v>102</v>
      </c>
    </row>
    <row r="1319" spans="1:10" ht="45">
      <c r="A1319" s="27" t="s">
        <v>2990</v>
      </c>
      <c r="B1319" s="22" t="s">
        <v>2650</v>
      </c>
      <c r="C1319" s="4" t="s">
        <v>58</v>
      </c>
      <c r="D1319" s="22" t="s">
        <v>2651</v>
      </c>
      <c r="E1319" s="22" t="s">
        <v>100</v>
      </c>
      <c r="F1319" s="22">
        <v>5</v>
      </c>
      <c r="G1319" s="22" t="s">
        <v>2953</v>
      </c>
      <c r="H1319" s="5">
        <v>2120.5357142857142</v>
      </c>
      <c r="I1319" s="49" t="s">
        <v>681</v>
      </c>
      <c r="J1319" s="5" t="s">
        <v>102</v>
      </c>
    </row>
    <row r="1320" spans="1:10" ht="45">
      <c r="A1320" s="27" t="s">
        <v>2991</v>
      </c>
      <c r="B1320" s="22" t="s">
        <v>2901</v>
      </c>
      <c r="C1320" s="4" t="s">
        <v>58</v>
      </c>
      <c r="D1320" s="22" t="s">
        <v>2901</v>
      </c>
      <c r="E1320" s="22" t="s">
        <v>100</v>
      </c>
      <c r="F1320" s="22">
        <v>5</v>
      </c>
      <c r="G1320" s="22" t="s">
        <v>2953</v>
      </c>
      <c r="H1320" s="5">
        <v>4071.4285714285711</v>
      </c>
      <c r="I1320" s="49" t="s">
        <v>681</v>
      </c>
      <c r="J1320" s="5" t="s">
        <v>102</v>
      </c>
    </row>
    <row r="1321" spans="1:10" ht="45">
      <c r="A1321" s="27" t="s">
        <v>2992</v>
      </c>
      <c r="B1321" s="22" t="s">
        <v>2332</v>
      </c>
      <c r="C1321" s="4" t="s">
        <v>58</v>
      </c>
      <c r="D1321" s="22" t="s">
        <v>2333</v>
      </c>
      <c r="E1321" s="22" t="s">
        <v>100</v>
      </c>
      <c r="F1321" s="22">
        <v>40</v>
      </c>
      <c r="G1321" s="22" t="s">
        <v>2953</v>
      </c>
      <c r="H1321" s="5">
        <v>3428.5714285714284</v>
      </c>
      <c r="I1321" s="49" t="s">
        <v>681</v>
      </c>
      <c r="J1321" s="5" t="s">
        <v>102</v>
      </c>
    </row>
    <row r="1322" spans="1:10" ht="45">
      <c r="A1322" s="27" t="s">
        <v>2993</v>
      </c>
      <c r="B1322" s="22" t="s">
        <v>2335</v>
      </c>
      <c r="C1322" s="4" t="s">
        <v>58</v>
      </c>
      <c r="D1322" s="22" t="s">
        <v>2336</v>
      </c>
      <c r="E1322" s="22" t="s">
        <v>100</v>
      </c>
      <c r="F1322" s="22">
        <v>3</v>
      </c>
      <c r="G1322" s="22" t="s">
        <v>2953</v>
      </c>
      <c r="H1322" s="5">
        <v>709.82142857142844</v>
      </c>
      <c r="I1322" s="49" t="s">
        <v>681</v>
      </c>
      <c r="J1322" s="5" t="s">
        <v>102</v>
      </c>
    </row>
    <row r="1323" spans="1:10" ht="45">
      <c r="A1323" s="27" t="s">
        <v>2994</v>
      </c>
      <c r="B1323" s="22" t="s">
        <v>2427</v>
      </c>
      <c r="C1323" s="4" t="s">
        <v>58</v>
      </c>
      <c r="D1323" s="22" t="s">
        <v>2427</v>
      </c>
      <c r="E1323" s="22" t="s">
        <v>100</v>
      </c>
      <c r="F1323" s="22">
        <v>10</v>
      </c>
      <c r="G1323" s="22" t="s">
        <v>2953</v>
      </c>
      <c r="H1323" s="5">
        <v>18749.999999999996</v>
      </c>
      <c r="I1323" s="49" t="s">
        <v>681</v>
      </c>
      <c r="J1323" s="5" t="s">
        <v>102</v>
      </c>
    </row>
    <row r="1324" spans="1:10" ht="45">
      <c r="A1324" s="27" t="s">
        <v>2995</v>
      </c>
      <c r="B1324" s="22" t="s">
        <v>443</v>
      </c>
      <c r="C1324" s="4" t="s">
        <v>58</v>
      </c>
      <c r="D1324" s="22" t="s">
        <v>2215</v>
      </c>
      <c r="E1324" s="22" t="s">
        <v>100</v>
      </c>
      <c r="F1324" s="22">
        <v>5</v>
      </c>
      <c r="G1324" s="22" t="s">
        <v>2953</v>
      </c>
      <c r="H1324" s="5">
        <v>723.21428571428567</v>
      </c>
      <c r="I1324" s="49" t="s">
        <v>681</v>
      </c>
      <c r="J1324" s="5" t="s">
        <v>102</v>
      </c>
    </row>
    <row r="1325" spans="1:10" ht="45">
      <c r="A1325" s="27" t="s">
        <v>2996</v>
      </c>
      <c r="B1325" s="22" t="s">
        <v>2430</v>
      </c>
      <c r="C1325" s="4" t="s">
        <v>58</v>
      </c>
      <c r="D1325" s="22" t="s">
        <v>2431</v>
      </c>
      <c r="E1325" s="22" t="s">
        <v>100</v>
      </c>
      <c r="F1325" s="22">
        <v>10</v>
      </c>
      <c r="G1325" s="22" t="s">
        <v>2953</v>
      </c>
      <c r="H1325" s="5">
        <v>3321.4285714285711</v>
      </c>
      <c r="I1325" s="49" t="s">
        <v>681</v>
      </c>
      <c r="J1325" s="5" t="s">
        <v>102</v>
      </c>
    </row>
    <row r="1326" spans="1:10" ht="45">
      <c r="A1326" s="27" t="s">
        <v>2997</v>
      </c>
      <c r="B1326" s="22" t="s">
        <v>2270</v>
      </c>
      <c r="C1326" s="4" t="s">
        <v>58</v>
      </c>
      <c r="D1326" s="22" t="s">
        <v>2271</v>
      </c>
      <c r="E1326" s="22" t="s">
        <v>100</v>
      </c>
      <c r="F1326" s="22">
        <v>5</v>
      </c>
      <c r="G1326" s="22" t="s">
        <v>2953</v>
      </c>
      <c r="H1326" s="5">
        <v>9642.8571428571413</v>
      </c>
      <c r="I1326" s="49" t="s">
        <v>681</v>
      </c>
      <c r="J1326" s="5" t="s">
        <v>102</v>
      </c>
    </row>
    <row r="1327" spans="1:10" ht="45">
      <c r="A1327" s="27" t="s">
        <v>2998</v>
      </c>
      <c r="B1327" s="22" t="s">
        <v>395</v>
      </c>
      <c r="C1327" s="4" t="s">
        <v>58</v>
      </c>
      <c r="D1327" s="22" t="s">
        <v>2372</v>
      </c>
      <c r="E1327" s="22" t="s">
        <v>100</v>
      </c>
      <c r="F1327" s="22">
        <v>12</v>
      </c>
      <c r="G1327" s="22" t="s">
        <v>2953</v>
      </c>
      <c r="H1327" s="5">
        <v>5078.5714285714275</v>
      </c>
      <c r="I1327" s="49" t="s">
        <v>681</v>
      </c>
      <c r="J1327" s="5" t="s">
        <v>102</v>
      </c>
    </row>
    <row r="1328" spans="1:10" ht="45">
      <c r="A1328" s="27" t="s">
        <v>2999</v>
      </c>
      <c r="B1328" s="22" t="s">
        <v>395</v>
      </c>
      <c r="C1328" s="4" t="s">
        <v>58</v>
      </c>
      <c r="D1328" s="22" t="s">
        <v>2374</v>
      </c>
      <c r="E1328" s="22" t="s">
        <v>100</v>
      </c>
      <c r="F1328" s="22">
        <v>5</v>
      </c>
      <c r="G1328" s="22" t="s">
        <v>2953</v>
      </c>
      <c r="H1328" s="5">
        <v>1285.7142857142856</v>
      </c>
      <c r="I1328" s="49" t="s">
        <v>681</v>
      </c>
      <c r="J1328" s="5" t="s">
        <v>102</v>
      </c>
    </row>
    <row r="1329" spans="1:10" ht="45">
      <c r="A1329" s="27" t="s">
        <v>3000</v>
      </c>
      <c r="B1329" s="22" t="s">
        <v>395</v>
      </c>
      <c r="C1329" s="4" t="s">
        <v>58</v>
      </c>
      <c r="D1329" s="22" t="s">
        <v>2338</v>
      </c>
      <c r="E1329" s="22" t="s">
        <v>100</v>
      </c>
      <c r="F1329" s="22">
        <v>10</v>
      </c>
      <c r="G1329" s="22" t="s">
        <v>2953</v>
      </c>
      <c r="H1329" s="5">
        <v>383.92857142857139</v>
      </c>
      <c r="I1329" s="49" t="s">
        <v>681</v>
      </c>
      <c r="J1329" s="5" t="s">
        <v>102</v>
      </c>
    </row>
    <row r="1330" spans="1:10" ht="45">
      <c r="A1330" s="27" t="s">
        <v>3001</v>
      </c>
      <c r="B1330" s="22" t="s">
        <v>2377</v>
      </c>
      <c r="C1330" s="4" t="s">
        <v>58</v>
      </c>
      <c r="D1330" s="22" t="s">
        <v>2378</v>
      </c>
      <c r="E1330" s="22" t="s">
        <v>100</v>
      </c>
      <c r="F1330" s="22">
        <v>10</v>
      </c>
      <c r="G1330" s="22" t="s">
        <v>2953</v>
      </c>
      <c r="H1330" s="5">
        <v>2625</v>
      </c>
      <c r="I1330" s="49" t="s">
        <v>681</v>
      </c>
      <c r="J1330" s="5" t="s">
        <v>102</v>
      </c>
    </row>
    <row r="1331" spans="1:10" ht="45">
      <c r="A1331" s="27" t="s">
        <v>3002</v>
      </c>
      <c r="B1331" s="22" t="s">
        <v>2437</v>
      </c>
      <c r="C1331" s="4" t="s">
        <v>58</v>
      </c>
      <c r="D1331" s="22" t="s">
        <v>2438</v>
      </c>
      <c r="E1331" s="22" t="s">
        <v>100</v>
      </c>
      <c r="F1331" s="22">
        <v>2</v>
      </c>
      <c r="G1331" s="22" t="s">
        <v>2953</v>
      </c>
      <c r="H1331" s="5">
        <v>374.99999999999994</v>
      </c>
      <c r="I1331" s="49" t="s">
        <v>681</v>
      </c>
      <c r="J1331" s="5" t="s">
        <v>102</v>
      </c>
    </row>
    <row r="1332" spans="1:10" ht="45">
      <c r="A1332" s="27" t="s">
        <v>3003</v>
      </c>
      <c r="B1332" s="22" t="s">
        <v>2531</v>
      </c>
      <c r="C1332" s="4" t="s">
        <v>58</v>
      </c>
      <c r="D1332" s="22" t="s">
        <v>2296</v>
      </c>
      <c r="E1332" s="22" t="s">
        <v>100</v>
      </c>
      <c r="F1332" s="22">
        <v>8</v>
      </c>
      <c r="G1332" s="22" t="s">
        <v>2953</v>
      </c>
      <c r="H1332" s="5">
        <v>4214.2857142857138</v>
      </c>
      <c r="I1332" s="49" t="s">
        <v>681</v>
      </c>
      <c r="J1332" s="5" t="s">
        <v>102</v>
      </c>
    </row>
    <row r="1333" spans="1:10" ht="45">
      <c r="A1333" s="27" t="s">
        <v>3004</v>
      </c>
      <c r="B1333" s="22" t="s">
        <v>2480</v>
      </c>
      <c r="C1333" s="4" t="s">
        <v>58</v>
      </c>
      <c r="D1333" s="22" t="s">
        <v>2480</v>
      </c>
      <c r="E1333" s="22" t="s">
        <v>100</v>
      </c>
      <c r="F1333" s="22">
        <v>5</v>
      </c>
      <c r="G1333" s="22" t="s">
        <v>2953</v>
      </c>
      <c r="H1333" s="5">
        <v>749.99999999999989</v>
      </c>
      <c r="I1333" s="49" t="s">
        <v>681</v>
      </c>
      <c r="J1333" s="5" t="s">
        <v>102</v>
      </c>
    </row>
    <row r="1334" spans="1:10" ht="45">
      <c r="A1334" s="27" t="s">
        <v>3005</v>
      </c>
      <c r="B1334" s="22" t="s">
        <v>2340</v>
      </c>
      <c r="C1334" s="4" t="s">
        <v>58</v>
      </c>
      <c r="D1334" s="22" t="s">
        <v>2341</v>
      </c>
      <c r="E1334" s="22" t="s">
        <v>2342</v>
      </c>
      <c r="F1334" s="22">
        <v>10</v>
      </c>
      <c r="G1334" s="22" t="s">
        <v>2953</v>
      </c>
      <c r="H1334" s="5">
        <v>2249.9999999999995</v>
      </c>
      <c r="I1334" s="49" t="s">
        <v>681</v>
      </c>
      <c r="J1334" s="5" t="s">
        <v>102</v>
      </c>
    </row>
    <row r="1335" spans="1:10" ht="45">
      <c r="A1335" s="27" t="s">
        <v>3006</v>
      </c>
      <c r="B1335" s="22" t="s">
        <v>2440</v>
      </c>
      <c r="C1335" s="4" t="s">
        <v>58</v>
      </c>
      <c r="D1335" s="22" t="s">
        <v>2440</v>
      </c>
      <c r="E1335" s="22" t="s">
        <v>100</v>
      </c>
      <c r="F1335" s="22">
        <v>13</v>
      </c>
      <c r="G1335" s="22" t="s">
        <v>2953</v>
      </c>
      <c r="H1335" s="5">
        <v>6546.4285714285706</v>
      </c>
      <c r="I1335" s="49" t="s">
        <v>681</v>
      </c>
      <c r="J1335" s="5" t="s">
        <v>102</v>
      </c>
    </row>
    <row r="1336" spans="1:10" ht="45">
      <c r="A1336" s="27" t="s">
        <v>3007</v>
      </c>
      <c r="B1336" s="22" t="s">
        <v>2381</v>
      </c>
      <c r="C1336" s="4" t="s">
        <v>58</v>
      </c>
      <c r="D1336" s="22" t="s">
        <v>2381</v>
      </c>
      <c r="E1336" s="22" t="s">
        <v>100</v>
      </c>
      <c r="F1336" s="22">
        <v>10</v>
      </c>
      <c r="G1336" s="22" t="s">
        <v>2953</v>
      </c>
      <c r="H1336" s="5">
        <v>14946.428571428571</v>
      </c>
      <c r="I1336" s="49" t="s">
        <v>681</v>
      </c>
      <c r="J1336" s="5" t="s">
        <v>102</v>
      </c>
    </row>
    <row r="1337" spans="1:10" ht="45">
      <c r="A1337" s="27" t="s">
        <v>3008</v>
      </c>
      <c r="B1337" s="22" t="s">
        <v>2537</v>
      </c>
      <c r="C1337" s="4" t="s">
        <v>58</v>
      </c>
      <c r="D1337" s="22" t="s">
        <v>2537</v>
      </c>
      <c r="E1337" s="22" t="s">
        <v>100</v>
      </c>
      <c r="F1337" s="22">
        <v>1</v>
      </c>
      <c r="G1337" s="22" t="s">
        <v>2953</v>
      </c>
      <c r="H1337" s="5">
        <v>13696.428571428571</v>
      </c>
      <c r="I1337" s="49" t="s">
        <v>681</v>
      </c>
      <c r="J1337" s="5" t="s">
        <v>102</v>
      </c>
    </row>
    <row r="1338" spans="1:10" ht="45">
      <c r="A1338" s="27" t="s">
        <v>3009</v>
      </c>
      <c r="B1338" s="22" t="s">
        <v>2600</v>
      </c>
      <c r="C1338" s="4" t="s">
        <v>58</v>
      </c>
      <c r="D1338" s="22" t="s">
        <v>2600</v>
      </c>
      <c r="E1338" s="22" t="s">
        <v>100</v>
      </c>
      <c r="F1338" s="22">
        <v>5</v>
      </c>
      <c r="G1338" s="22" t="s">
        <v>2953</v>
      </c>
      <c r="H1338" s="5">
        <v>4464.2857142857138</v>
      </c>
      <c r="I1338" s="49" t="s">
        <v>681</v>
      </c>
      <c r="J1338" s="5" t="s">
        <v>102</v>
      </c>
    </row>
    <row r="1339" spans="1:10" ht="45">
      <c r="A1339" s="27" t="s">
        <v>3010</v>
      </c>
      <c r="B1339" s="22" t="s">
        <v>2539</v>
      </c>
      <c r="C1339" s="4" t="s">
        <v>58</v>
      </c>
      <c r="D1339" s="22" t="s">
        <v>2540</v>
      </c>
      <c r="E1339" s="22" t="s">
        <v>604</v>
      </c>
      <c r="F1339" s="22">
        <v>3</v>
      </c>
      <c r="G1339" s="22" t="s">
        <v>2953</v>
      </c>
      <c r="H1339" s="5">
        <v>7901.7857142857138</v>
      </c>
      <c r="I1339" s="49" t="s">
        <v>681</v>
      </c>
      <c r="J1339" s="5" t="s">
        <v>102</v>
      </c>
    </row>
    <row r="1340" spans="1:10" ht="45">
      <c r="A1340" s="27" t="s">
        <v>3011</v>
      </c>
      <c r="B1340" s="22" t="s">
        <v>2344</v>
      </c>
      <c r="C1340" s="4" t="s">
        <v>58</v>
      </c>
      <c r="D1340" s="22" t="s">
        <v>2344</v>
      </c>
      <c r="E1340" s="22" t="s">
        <v>100</v>
      </c>
      <c r="F1340" s="22">
        <v>3</v>
      </c>
      <c r="G1340" s="22" t="s">
        <v>2953</v>
      </c>
      <c r="H1340" s="5">
        <v>2764.2857142857138</v>
      </c>
      <c r="I1340" s="49" t="s">
        <v>681</v>
      </c>
      <c r="J1340" s="5" t="s">
        <v>102</v>
      </c>
    </row>
    <row r="1341" spans="1:10" ht="45">
      <c r="A1341" s="27" t="s">
        <v>3012</v>
      </c>
      <c r="B1341" s="22" t="s">
        <v>2346</v>
      </c>
      <c r="C1341" s="4" t="s">
        <v>58</v>
      </c>
      <c r="D1341" s="22" t="s">
        <v>2346</v>
      </c>
      <c r="E1341" s="22" t="s">
        <v>100</v>
      </c>
      <c r="F1341" s="22">
        <v>10</v>
      </c>
      <c r="G1341" s="22" t="s">
        <v>2953</v>
      </c>
      <c r="H1341" s="5">
        <v>6374.9999999999991</v>
      </c>
      <c r="I1341" s="49" t="s">
        <v>681</v>
      </c>
      <c r="J1341" s="5" t="s">
        <v>102</v>
      </c>
    </row>
    <row r="1342" spans="1:10" ht="45">
      <c r="A1342" s="27" t="s">
        <v>3013</v>
      </c>
      <c r="B1342" s="22" t="s">
        <v>2444</v>
      </c>
      <c r="C1342" s="4" t="s">
        <v>58</v>
      </c>
      <c r="D1342" s="22" t="s">
        <v>2444</v>
      </c>
      <c r="E1342" s="22" t="s">
        <v>100</v>
      </c>
      <c r="F1342" s="22">
        <v>10</v>
      </c>
      <c r="G1342" s="22" t="s">
        <v>2953</v>
      </c>
      <c r="H1342" s="5">
        <v>2607.1428571428569</v>
      </c>
      <c r="I1342" s="49" t="s">
        <v>681</v>
      </c>
      <c r="J1342" s="5" t="s">
        <v>102</v>
      </c>
    </row>
    <row r="1343" spans="1:10" ht="45">
      <c r="A1343" s="27" t="s">
        <v>3014</v>
      </c>
      <c r="B1343" s="22" t="s">
        <v>2348</v>
      </c>
      <c r="C1343" s="4" t="s">
        <v>58</v>
      </c>
      <c r="D1343" s="22" t="s">
        <v>2348</v>
      </c>
      <c r="E1343" s="22" t="s">
        <v>100</v>
      </c>
      <c r="F1343" s="22">
        <v>5</v>
      </c>
      <c r="G1343" s="22" t="s">
        <v>2953</v>
      </c>
      <c r="H1343" s="5">
        <v>3861.6071428571422</v>
      </c>
      <c r="I1343" s="49" t="s">
        <v>681</v>
      </c>
      <c r="J1343" s="5" t="s">
        <v>102</v>
      </c>
    </row>
    <row r="1344" spans="1:10" ht="45">
      <c r="A1344" s="27" t="s">
        <v>3015</v>
      </c>
      <c r="B1344" s="22" t="s">
        <v>2548</v>
      </c>
      <c r="C1344" s="4" t="s">
        <v>58</v>
      </c>
      <c r="D1344" s="22" t="s">
        <v>2549</v>
      </c>
      <c r="E1344" s="22" t="s">
        <v>100</v>
      </c>
      <c r="F1344" s="22">
        <v>1</v>
      </c>
      <c r="G1344" s="22" t="s">
        <v>2953</v>
      </c>
      <c r="H1344" s="5">
        <v>13281.249999999998</v>
      </c>
      <c r="I1344" s="49" t="s">
        <v>681</v>
      </c>
      <c r="J1344" s="5" t="s">
        <v>102</v>
      </c>
    </row>
    <row r="1345" spans="1:10" ht="45">
      <c r="A1345" s="27" t="s">
        <v>3016</v>
      </c>
      <c r="B1345" s="22" t="s">
        <v>2551</v>
      </c>
      <c r="C1345" s="4" t="s">
        <v>58</v>
      </c>
      <c r="D1345" s="22" t="s">
        <v>2551</v>
      </c>
      <c r="E1345" s="22" t="s">
        <v>100</v>
      </c>
      <c r="F1345" s="22">
        <v>20</v>
      </c>
      <c r="G1345" s="22" t="s">
        <v>2953</v>
      </c>
      <c r="H1345" s="5">
        <v>1160.7142857142856</v>
      </c>
      <c r="I1345" s="49" t="s">
        <v>681</v>
      </c>
      <c r="J1345" s="5" t="s">
        <v>102</v>
      </c>
    </row>
    <row r="1346" spans="1:10" ht="45">
      <c r="A1346" s="27" t="s">
        <v>3017</v>
      </c>
      <c r="B1346" s="22" t="s">
        <v>2553</v>
      </c>
      <c r="C1346" s="4" t="s">
        <v>58</v>
      </c>
      <c r="D1346" s="22" t="s">
        <v>2553</v>
      </c>
      <c r="E1346" s="22" t="s">
        <v>100</v>
      </c>
      <c r="F1346" s="22">
        <v>20</v>
      </c>
      <c r="G1346" s="22" t="s">
        <v>2953</v>
      </c>
      <c r="H1346" s="5">
        <v>1160.7142857142856</v>
      </c>
      <c r="I1346" s="49" t="s">
        <v>681</v>
      </c>
      <c r="J1346" s="5" t="s">
        <v>102</v>
      </c>
    </row>
    <row r="1347" spans="1:10" ht="45">
      <c r="A1347" s="27" t="s">
        <v>3018</v>
      </c>
      <c r="B1347" s="22" t="s">
        <v>2332</v>
      </c>
      <c r="C1347" s="4" t="s">
        <v>58</v>
      </c>
      <c r="D1347" s="22" t="s">
        <v>2947</v>
      </c>
      <c r="E1347" s="22" t="s">
        <v>100</v>
      </c>
      <c r="F1347" s="22">
        <v>10</v>
      </c>
      <c r="G1347" s="22" t="s">
        <v>2953</v>
      </c>
      <c r="H1347" s="5">
        <v>5821.4285714285706</v>
      </c>
      <c r="I1347" s="49" t="s">
        <v>681</v>
      </c>
      <c r="J1347" s="5" t="s">
        <v>102</v>
      </c>
    </row>
    <row r="1348" spans="1:10" ht="45">
      <c r="A1348" s="27" t="s">
        <v>3019</v>
      </c>
      <c r="B1348" s="22" t="s">
        <v>2450</v>
      </c>
      <c r="C1348" s="4" t="s">
        <v>58</v>
      </c>
      <c r="D1348" s="22" t="s">
        <v>2450</v>
      </c>
      <c r="E1348" s="22" t="s">
        <v>100</v>
      </c>
      <c r="F1348" s="22">
        <v>5</v>
      </c>
      <c r="G1348" s="22" t="s">
        <v>2953</v>
      </c>
      <c r="H1348" s="5">
        <v>522.32142857142856</v>
      </c>
      <c r="I1348" s="49" t="s">
        <v>681</v>
      </c>
      <c r="J1348" s="5" t="s">
        <v>102</v>
      </c>
    </row>
    <row r="1349" spans="1:10" ht="45">
      <c r="A1349" s="27" t="s">
        <v>3020</v>
      </c>
      <c r="B1349" s="22" t="s">
        <v>2673</v>
      </c>
      <c r="C1349" s="4" t="s">
        <v>58</v>
      </c>
      <c r="D1349" s="22" t="s">
        <v>2674</v>
      </c>
      <c r="E1349" s="22" t="s">
        <v>100</v>
      </c>
      <c r="F1349" s="22">
        <v>10</v>
      </c>
      <c r="G1349" s="22" t="s">
        <v>2953</v>
      </c>
      <c r="H1349" s="5">
        <v>1160.7142857142856</v>
      </c>
      <c r="I1349" s="49" t="s">
        <v>681</v>
      </c>
      <c r="J1349" s="5" t="s">
        <v>102</v>
      </c>
    </row>
    <row r="1350" spans="1:10" ht="45">
      <c r="A1350" s="27" t="s">
        <v>3021</v>
      </c>
      <c r="B1350" s="17" t="s">
        <v>2454</v>
      </c>
      <c r="C1350" s="4" t="s">
        <v>58</v>
      </c>
      <c r="D1350" s="22" t="s">
        <v>2454</v>
      </c>
      <c r="E1350" s="22" t="s">
        <v>100</v>
      </c>
      <c r="F1350" s="22">
        <v>2</v>
      </c>
      <c r="G1350" s="22" t="s">
        <v>2953</v>
      </c>
      <c r="H1350" s="5">
        <v>1647.3214285714284</v>
      </c>
      <c r="I1350" s="49" t="s">
        <v>681</v>
      </c>
      <c r="J1350" s="5" t="s">
        <v>102</v>
      </c>
    </row>
    <row r="1351" spans="1:10" ht="45">
      <c r="A1351" s="27" t="s">
        <v>3022</v>
      </c>
      <c r="B1351" s="17" t="s">
        <v>603</v>
      </c>
      <c r="C1351" s="4" t="s">
        <v>58</v>
      </c>
      <c r="D1351" s="22" t="s">
        <v>2350</v>
      </c>
      <c r="E1351" s="22" t="s">
        <v>604</v>
      </c>
      <c r="F1351" s="22">
        <v>146</v>
      </c>
      <c r="G1351" s="22" t="s">
        <v>232</v>
      </c>
      <c r="H1351" s="5">
        <v>174553.57142857142</v>
      </c>
      <c r="I1351" s="49" t="s">
        <v>681</v>
      </c>
      <c r="J1351" s="5" t="s">
        <v>102</v>
      </c>
    </row>
    <row r="1352" spans="1:10" ht="30">
      <c r="A1352" s="27" t="s">
        <v>3023</v>
      </c>
      <c r="B1352" s="22" t="s">
        <v>2352</v>
      </c>
      <c r="C1352" s="4" t="s">
        <v>58</v>
      </c>
      <c r="D1352" s="22" t="s">
        <v>2353</v>
      </c>
      <c r="E1352" s="22" t="s">
        <v>100</v>
      </c>
      <c r="F1352" s="22">
        <v>10</v>
      </c>
      <c r="G1352" s="22" t="s">
        <v>232</v>
      </c>
      <c r="H1352" s="5">
        <v>589.28571428571422</v>
      </c>
      <c r="I1352" s="49" t="s">
        <v>681</v>
      </c>
      <c r="J1352" s="5" t="s">
        <v>102</v>
      </c>
    </row>
    <row r="1353" spans="1:10" ht="30">
      <c r="A1353" s="27" t="s">
        <v>3024</v>
      </c>
      <c r="B1353" s="17" t="s">
        <v>2355</v>
      </c>
      <c r="C1353" s="4" t="s">
        <v>58</v>
      </c>
      <c r="D1353" s="22" t="s">
        <v>2356</v>
      </c>
      <c r="E1353" s="22" t="s">
        <v>100</v>
      </c>
      <c r="F1353" s="22">
        <v>7</v>
      </c>
      <c r="G1353" s="22" t="s">
        <v>232</v>
      </c>
      <c r="H1353" s="5">
        <v>5571.4285714285706</v>
      </c>
      <c r="I1353" s="49" t="s">
        <v>681</v>
      </c>
      <c r="J1353" s="5" t="s">
        <v>102</v>
      </c>
    </row>
    <row r="1354" spans="1:10" ht="30">
      <c r="A1354" s="27" t="s">
        <v>3025</v>
      </c>
      <c r="B1354" s="22" t="s">
        <v>2355</v>
      </c>
      <c r="C1354" s="4" t="s">
        <v>58</v>
      </c>
      <c r="D1354" s="22" t="s">
        <v>2358</v>
      </c>
      <c r="E1354" s="22" t="s">
        <v>100</v>
      </c>
      <c r="F1354" s="22">
        <v>10</v>
      </c>
      <c r="G1354" s="22" t="s">
        <v>232</v>
      </c>
      <c r="H1354" s="5">
        <v>5303.5714285714275</v>
      </c>
      <c r="I1354" s="49" t="s">
        <v>681</v>
      </c>
      <c r="J1354" s="5" t="s">
        <v>102</v>
      </c>
    </row>
    <row r="1355" spans="1:10" ht="30">
      <c r="A1355" s="27" t="s">
        <v>3026</v>
      </c>
      <c r="B1355" s="22" t="s">
        <v>2458</v>
      </c>
      <c r="C1355" s="4" t="s">
        <v>58</v>
      </c>
      <c r="D1355" s="22" t="s">
        <v>2459</v>
      </c>
      <c r="E1355" s="22" t="s">
        <v>100</v>
      </c>
      <c r="F1355" s="22">
        <v>2</v>
      </c>
      <c r="G1355" s="22" t="s">
        <v>232</v>
      </c>
      <c r="H1355" s="5">
        <v>642.85714285714278</v>
      </c>
      <c r="I1355" s="49" t="s">
        <v>681</v>
      </c>
      <c r="J1355" s="5" t="s">
        <v>102</v>
      </c>
    </row>
    <row r="1356" spans="1:10" ht="30">
      <c r="A1356" s="27" t="s">
        <v>3027</v>
      </c>
      <c r="B1356" s="22" t="s">
        <v>2461</v>
      </c>
      <c r="C1356" s="4" t="s">
        <v>58</v>
      </c>
      <c r="D1356" s="22" t="s">
        <v>2462</v>
      </c>
      <c r="E1356" s="22" t="s">
        <v>100</v>
      </c>
      <c r="F1356" s="22">
        <v>2</v>
      </c>
      <c r="G1356" s="22" t="s">
        <v>232</v>
      </c>
      <c r="H1356" s="5">
        <v>642.85714285714278</v>
      </c>
      <c r="I1356" s="49" t="s">
        <v>681</v>
      </c>
      <c r="J1356" s="5" t="s">
        <v>102</v>
      </c>
    </row>
    <row r="1357" spans="1:10" ht="30">
      <c r="A1357" s="27" t="s">
        <v>3028</v>
      </c>
      <c r="B1357" s="22" t="s">
        <v>2362</v>
      </c>
      <c r="C1357" s="4" t="s">
        <v>58</v>
      </c>
      <c r="D1357" s="22" t="s">
        <v>2489</v>
      </c>
      <c r="E1357" s="22" t="s">
        <v>100</v>
      </c>
      <c r="F1357" s="22">
        <v>70</v>
      </c>
      <c r="G1357" s="22" t="s">
        <v>232</v>
      </c>
      <c r="H1357" s="5">
        <v>4875</v>
      </c>
      <c r="I1357" s="49" t="s">
        <v>681</v>
      </c>
      <c r="J1357" s="5" t="s">
        <v>102</v>
      </c>
    </row>
    <row r="1358" spans="1:10" ht="30">
      <c r="A1358" s="27" t="s">
        <v>3029</v>
      </c>
      <c r="B1358" s="22" t="s">
        <v>2362</v>
      </c>
      <c r="C1358" s="4" t="s">
        <v>58</v>
      </c>
      <c r="D1358" s="22" t="s">
        <v>2363</v>
      </c>
      <c r="E1358" s="22" t="s">
        <v>100</v>
      </c>
      <c r="F1358" s="22">
        <v>70</v>
      </c>
      <c r="G1358" s="22" t="s">
        <v>232</v>
      </c>
      <c r="H1358" s="5">
        <v>1875</v>
      </c>
      <c r="I1358" s="49" t="s">
        <v>681</v>
      </c>
      <c r="J1358" s="5" t="s">
        <v>102</v>
      </c>
    </row>
    <row r="1359" spans="1:10" ht="30">
      <c r="A1359" s="27" t="s">
        <v>3030</v>
      </c>
      <c r="B1359" s="22" t="s">
        <v>2388</v>
      </c>
      <c r="C1359" s="4" t="s">
        <v>58</v>
      </c>
      <c r="D1359" s="22" t="s">
        <v>2389</v>
      </c>
      <c r="E1359" s="22" t="s">
        <v>100</v>
      </c>
      <c r="F1359" s="22">
        <v>40</v>
      </c>
      <c r="G1359" s="22" t="s">
        <v>232</v>
      </c>
      <c r="H1359" s="5">
        <v>514.28571428571422</v>
      </c>
      <c r="I1359" s="49" t="s">
        <v>681</v>
      </c>
      <c r="J1359" s="5" t="s">
        <v>102</v>
      </c>
    </row>
    <row r="1360" spans="1:10" ht="30">
      <c r="A1360" s="27" t="s">
        <v>3031</v>
      </c>
      <c r="B1360" s="17" t="s">
        <v>2212</v>
      </c>
      <c r="C1360" s="4" t="s">
        <v>58</v>
      </c>
      <c r="D1360" s="22" t="s">
        <v>2494</v>
      </c>
      <c r="E1360" s="22" t="s">
        <v>100</v>
      </c>
      <c r="F1360" s="22">
        <v>5</v>
      </c>
      <c r="G1360" s="22" t="s">
        <v>232</v>
      </c>
      <c r="H1360" s="5">
        <v>4467.8571428571431</v>
      </c>
      <c r="I1360" s="49" t="s">
        <v>681</v>
      </c>
      <c r="J1360" s="5" t="s">
        <v>102</v>
      </c>
    </row>
    <row r="1361" spans="1:10" ht="30">
      <c r="A1361" s="27" t="s">
        <v>3032</v>
      </c>
      <c r="B1361" s="22" t="s">
        <v>2313</v>
      </c>
      <c r="C1361" s="4" t="s">
        <v>58</v>
      </c>
      <c r="D1361" s="22" t="s">
        <v>2313</v>
      </c>
      <c r="E1361" s="22" t="s">
        <v>100</v>
      </c>
      <c r="F1361" s="22">
        <v>80</v>
      </c>
      <c r="G1361" s="22" t="s">
        <v>232</v>
      </c>
      <c r="H1361" s="5">
        <v>2857.1428571428569</v>
      </c>
      <c r="I1361" s="49" t="s">
        <v>681</v>
      </c>
      <c r="J1361" s="5" t="s">
        <v>102</v>
      </c>
    </row>
    <row r="1362" spans="1:10" ht="30">
      <c r="A1362" s="27" t="s">
        <v>3033</v>
      </c>
      <c r="B1362" s="17" t="s">
        <v>2276</v>
      </c>
      <c r="C1362" s="4" t="s">
        <v>58</v>
      </c>
      <c r="D1362" s="22" t="s">
        <v>2315</v>
      </c>
      <c r="E1362" s="22" t="s">
        <v>2316</v>
      </c>
      <c r="F1362" s="22">
        <v>9</v>
      </c>
      <c r="G1362" s="22" t="s">
        <v>232</v>
      </c>
      <c r="H1362" s="5">
        <v>7499.9999999999991</v>
      </c>
      <c r="I1362" s="49" t="s">
        <v>681</v>
      </c>
      <c r="J1362" s="5" t="s">
        <v>102</v>
      </c>
    </row>
    <row r="1363" spans="1:10" ht="30">
      <c r="A1363" s="27" t="s">
        <v>3034</v>
      </c>
      <c r="B1363" s="22" t="s">
        <v>2180</v>
      </c>
      <c r="C1363" s="4" t="s">
        <v>58</v>
      </c>
      <c r="D1363" s="22" t="s">
        <v>2318</v>
      </c>
      <c r="E1363" s="22" t="s">
        <v>100</v>
      </c>
      <c r="F1363" s="22">
        <v>100</v>
      </c>
      <c r="G1363" s="22" t="s">
        <v>232</v>
      </c>
      <c r="H1363" s="5">
        <v>6696.4285714285706</v>
      </c>
      <c r="I1363" s="49" t="s">
        <v>681</v>
      </c>
      <c r="J1363" s="5" t="s">
        <v>102</v>
      </c>
    </row>
    <row r="1364" spans="1:10" ht="30">
      <c r="A1364" s="27" t="s">
        <v>3035</v>
      </c>
      <c r="B1364" s="22" t="s">
        <v>2396</v>
      </c>
      <c r="C1364" s="4" t="s">
        <v>58</v>
      </c>
      <c r="D1364" s="22" t="s">
        <v>2396</v>
      </c>
      <c r="E1364" s="22" t="s">
        <v>100</v>
      </c>
      <c r="F1364" s="22">
        <v>12</v>
      </c>
      <c r="G1364" s="22" t="s">
        <v>232</v>
      </c>
      <c r="H1364" s="5">
        <v>1092.8571428571429</v>
      </c>
      <c r="I1364" s="49" t="s">
        <v>681</v>
      </c>
      <c r="J1364" s="5" t="s">
        <v>102</v>
      </c>
    </row>
    <row r="1365" spans="1:10" ht="30">
      <c r="A1365" s="27" t="s">
        <v>3036</v>
      </c>
      <c r="B1365" s="22" t="s">
        <v>2326</v>
      </c>
      <c r="C1365" s="4" t="s">
        <v>58</v>
      </c>
      <c r="D1365" s="22" t="s">
        <v>2326</v>
      </c>
      <c r="E1365" s="22" t="s">
        <v>100</v>
      </c>
      <c r="F1365" s="22">
        <v>70</v>
      </c>
      <c r="G1365" s="22" t="s">
        <v>232</v>
      </c>
      <c r="H1365" s="5">
        <v>899.99999999999989</v>
      </c>
      <c r="I1365" s="49" t="s">
        <v>681</v>
      </c>
      <c r="J1365" s="5" t="s">
        <v>102</v>
      </c>
    </row>
    <row r="1366" spans="1:10" ht="30">
      <c r="A1366" s="27" t="s">
        <v>3037</v>
      </c>
      <c r="B1366" s="22" t="s">
        <v>2248</v>
      </c>
      <c r="C1366" s="4" t="s">
        <v>58</v>
      </c>
      <c r="D1366" s="22" t="s">
        <v>2248</v>
      </c>
      <c r="E1366" s="22" t="s">
        <v>100</v>
      </c>
      <c r="F1366" s="22">
        <v>15</v>
      </c>
      <c r="G1366" s="22" t="s">
        <v>232</v>
      </c>
      <c r="H1366" s="5">
        <v>1285.7142857142856</v>
      </c>
      <c r="I1366" s="49" t="s">
        <v>681</v>
      </c>
      <c r="J1366" s="5" t="s">
        <v>102</v>
      </c>
    </row>
    <row r="1367" spans="1:10" ht="30">
      <c r="A1367" s="27" t="s">
        <v>3038</v>
      </c>
      <c r="B1367" s="22" t="s">
        <v>2208</v>
      </c>
      <c r="C1367" s="4" t="s">
        <v>58</v>
      </c>
      <c r="D1367" s="22" t="s">
        <v>2208</v>
      </c>
      <c r="E1367" s="22" t="s">
        <v>100</v>
      </c>
      <c r="F1367" s="22">
        <v>15</v>
      </c>
      <c r="G1367" s="22" t="s">
        <v>232</v>
      </c>
      <c r="H1367" s="5">
        <v>642.85714285714278</v>
      </c>
      <c r="I1367" s="49" t="s">
        <v>681</v>
      </c>
      <c r="J1367" s="5" t="s">
        <v>102</v>
      </c>
    </row>
    <row r="1368" spans="1:10" ht="30">
      <c r="A1368" s="27" t="s">
        <v>3039</v>
      </c>
      <c r="B1368" s="22" t="s">
        <v>2505</v>
      </c>
      <c r="C1368" s="4" t="s">
        <v>58</v>
      </c>
      <c r="D1368" s="22" t="s">
        <v>2506</v>
      </c>
      <c r="E1368" s="22" t="s">
        <v>100</v>
      </c>
      <c r="F1368" s="22">
        <v>15</v>
      </c>
      <c r="G1368" s="22" t="s">
        <v>232</v>
      </c>
      <c r="H1368" s="5">
        <v>1124.9999999999998</v>
      </c>
      <c r="I1368" s="49" t="s">
        <v>681</v>
      </c>
      <c r="J1368" s="5" t="s">
        <v>102</v>
      </c>
    </row>
    <row r="1369" spans="1:10" ht="30">
      <c r="A1369" s="27" t="s">
        <v>3040</v>
      </c>
      <c r="B1369" s="22" t="s">
        <v>2280</v>
      </c>
      <c r="C1369" s="4" t="s">
        <v>58</v>
      </c>
      <c r="D1369" s="22" t="s">
        <v>2280</v>
      </c>
      <c r="E1369" s="22" t="s">
        <v>100</v>
      </c>
      <c r="F1369" s="22">
        <v>10</v>
      </c>
      <c r="G1369" s="22" t="s">
        <v>232</v>
      </c>
      <c r="H1369" s="5">
        <v>2839.2857142857138</v>
      </c>
      <c r="I1369" s="49" t="s">
        <v>681</v>
      </c>
      <c r="J1369" s="5" t="s">
        <v>102</v>
      </c>
    </row>
    <row r="1370" spans="1:10" ht="30">
      <c r="A1370" s="27" t="s">
        <v>3041</v>
      </c>
      <c r="B1370" s="22" t="s">
        <v>2403</v>
      </c>
      <c r="C1370" s="4" t="s">
        <v>58</v>
      </c>
      <c r="D1370" s="22" t="s">
        <v>2403</v>
      </c>
      <c r="E1370" s="22" t="s">
        <v>100</v>
      </c>
      <c r="F1370" s="22">
        <v>5</v>
      </c>
      <c r="G1370" s="22" t="s">
        <v>232</v>
      </c>
      <c r="H1370" s="5">
        <v>883.92857142857133</v>
      </c>
      <c r="I1370" s="49" t="s">
        <v>681</v>
      </c>
      <c r="J1370" s="5" t="s">
        <v>102</v>
      </c>
    </row>
    <row r="1371" spans="1:10" ht="30">
      <c r="A1371" s="27" t="s">
        <v>3042</v>
      </c>
      <c r="B1371" s="22" t="s">
        <v>2171</v>
      </c>
      <c r="C1371" s="4" t="s">
        <v>58</v>
      </c>
      <c r="D1371" s="22" t="s">
        <v>2407</v>
      </c>
      <c r="E1371" s="22" t="s">
        <v>100</v>
      </c>
      <c r="F1371" s="22">
        <v>1</v>
      </c>
      <c r="G1371" s="22" t="s">
        <v>232</v>
      </c>
      <c r="H1371" s="5">
        <v>3874.9999999999995</v>
      </c>
      <c r="I1371" s="49" t="s">
        <v>681</v>
      </c>
      <c r="J1371" s="5" t="s">
        <v>102</v>
      </c>
    </row>
    <row r="1372" spans="1:10" ht="30">
      <c r="A1372" s="27" t="s">
        <v>3043</v>
      </c>
      <c r="B1372" s="22" t="s">
        <v>2305</v>
      </c>
      <c r="C1372" s="4" t="s">
        <v>58</v>
      </c>
      <c r="D1372" s="22" t="s">
        <v>2305</v>
      </c>
      <c r="E1372" s="22" t="s">
        <v>604</v>
      </c>
      <c r="F1372" s="22">
        <v>50</v>
      </c>
      <c r="G1372" s="22" t="s">
        <v>232</v>
      </c>
      <c r="H1372" s="5">
        <v>9910.7142857142844</v>
      </c>
      <c r="I1372" s="49" t="s">
        <v>681</v>
      </c>
      <c r="J1372" s="5" t="s">
        <v>102</v>
      </c>
    </row>
    <row r="1373" spans="1:10" ht="30">
      <c r="A1373" s="27" t="s">
        <v>3044</v>
      </c>
      <c r="B1373" s="22" t="s">
        <v>2174</v>
      </c>
      <c r="C1373" s="4" t="s">
        <v>58</v>
      </c>
      <c r="D1373" s="22" t="s">
        <v>2174</v>
      </c>
      <c r="E1373" s="22" t="s">
        <v>100</v>
      </c>
      <c r="F1373" s="22">
        <v>10</v>
      </c>
      <c r="G1373" s="22" t="s">
        <v>232</v>
      </c>
      <c r="H1373" s="5">
        <v>1339.2857142857142</v>
      </c>
      <c r="I1373" s="49" t="s">
        <v>681</v>
      </c>
      <c r="J1373" s="5" t="s">
        <v>102</v>
      </c>
    </row>
    <row r="1374" spans="1:10" ht="30">
      <c r="A1374" s="27" t="s">
        <v>3045</v>
      </c>
      <c r="B1374" s="22" t="s">
        <v>2417</v>
      </c>
      <c r="C1374" s="4" t="s">
        <v>58</v>
      </c>
      <c r="D1374" s="22" t="s">
        <v>2420</v>
      </c>
      <c r="E1374" s="22" t="s">
        <v>604</v>
      </c>
      <c r="F1374" s="22">
        <v>7</v>
      </c>
      <c r="G1374" s="22" t="s">
        <v>232</v>
      </c>
      <c r="H1374" s="5">
        <v>2699.9999999999995</v>
      </c>
      <c r="I1374" s="49" t="s">
        <v>681</v>
      </c>
      <c r="J1374" s="5" t="s">
        <v>102</v>
      </c>
    </row>
    <row r="1375" spans="1:10" ht="30">
      <c r="A1375" s="27" t="s">
        <v>3046</v>
      </c>
      <c r="B1375" s="22" t="s">
        <v>2417</v>
      </c>
      <c r="C1375" s="4" t="s">
        <v>58</v>
      </c>
      <c r="D1375" s="22" t="s">
        <v>2422</v>
      </c>
      <c r="E1375" s="22" t="s">
        <v>604</v>
      </c>
      <c r="F1375" s="22">
        <v>7</v>
      </c>
      <c r="G1375" s="22" t="s">
        <v>232</v>
      </c>
      <c r="H1375" s="5">
        <v>4462.4999999999991</v>
      </c>
      <c r="I1375" s="49" t="s">
        <v>681</v>
      </c>
      <c r="J1375" s="5" t="s">
        <v>102</v>
      </c>
    </row>
    <row r="1376" spans="1:10" ht="30">
      <c r="A1376" s="27" t="s">
        <v>3047</v>
      </c>
      <c r="B1376" s="22" t="s">
        <v>2203</v>
      </c>
      <c r="C1376" s="4" t="s">
        <v>58</v>
      </c>
      <c r="D1376" s="22" t="s">
        <v>2204</v>
      </c>
      <c r="E1376" s="22" t="s">
        <v>100</v>
      </c>
      <c r="F1376" s="22">
        <v>20</v>
      </c>
      <c r="G1376" s="22" t="s">
        <v>232</v>
      </c>
      <c r="H1376" s="5">
        <v>2999.9999999999995</v>
      </c>
      <c r="I1376" s="49" t="s">
        <v>681</v>
      </c>
      <c r="J1376" s="5" t="s">
        <v>102</v>
      </c>
    </row>
    <row r="1377" spans="1:10" ht="30">
      <c r="A1377" s="27" t="s">
        <v>3048</v>
      </c>
      <c r="B1377" s="22" t="s">
        <v>2650</v>
      </c>
      <c r="C1377" s="4" t="s">
        <v>58</v>
      </c>
      <c r="D1377" s="22" t="s">
        <v>2651</v>
      </c>
      <c r="E1377" s="22" t="s">
        <v>100</v>
      </c>
      <c r="F1377" s="22">
        <v>1</v>
      </c>
      <c r="G1377" s="22" t="s">
        <v>232</v>
      </c>
      <c r="H1377" s="5">
        <v>424.10714285714283</v>
      </c>
      <c r="I1377" s="49" t="s">
        <v>681</v>
      </c>
      <c r="J1377" s="5" t="s">
        <v>102</v>
      </c>
    </row>
    <row r="1378" spans="1:10" ht="30">
      <c r="A1378" s="27" t="s">
        <v>3049</v>
      </c>
      <c r="B1378" s="22" t="s">
        <v>2332</v>
      </c>
      <c r="C1378" s="4" t="s">
        <v>58</v>
      </c>
      <c r="D1378" s="22" t="s">
        <v>2333</v>
      </c>
      <c r="E1378" s="22" t="s">
        <v>100</v>
      </c>
      <c r="F1378" s="22">
        <v>15</v>
      </c>
      <c r="G1378" s="22" t="s">
        <v>232</v>
      </c>
      <c r="H1378" s="5">
        <v>1285.7142857142856</v>
      </c>
      <c r="I1378" s="49" t="s">
        <v>681</v>
      </c>
      <c r="J1378" s="5" t="s">
        <v>102</v>
      </c>
    </row>
    <row r="1379" spans="1:10" ht="30">
      <c r="A1379" s="27" t="s">
        <v>3050</v>
      </c>
      <c r="B1379" s="22" t="s">
        <v>443</v>
      </c>
      <c r="C1379" s="4" t="s">
        <v>58</v>
      </c>
      <c r="D1379" s="22" t="s">
        <v>2215</v>
      </c>
      <c r="E1379" s="22" t="s">
        <v>100</v>
      </c>
      <c r="F1379" s="22">
        <v>10</v>
      </c>
      <c r="G1379" s="22" t="s">
        <v>232</v>
      </c>
      <c r="H1379" s="5">
        <v>1446.4285714285713</v>
      </c>
      <c r="I1379" s="49" t="s">
        <v>681</v>
      </c>
      <c r="J1379" s="5" t="s">
        <v>102</v>
      </c>
    </row>
    <row r="1380" spans="1:10" ht="30">
      <c r="A1380" s="27" t="s">
        <v>3051</v>
      </c>
      <c r="B1380" s="22" t="s">
        <v>2270</v>
      </c>
      <c r="C1380" s="4" t="s">
        <v>58</v>
      </c>
      <c r="D1380" s="22" t="s">
        <v>2271</v>
      </c>
      <c r="E1380" s="22" t="s">
        <v>100</v>
      </c>
      <c r="F1380" s="22">
        <v>10</v>
      </c>
      <c r="G1380" s="22" t="s">
        <v>232</v>
      </c>
      <c r="H1380" s="5">
        <v>19285.714285714283</v>
      </c>
      <c r="I1380" s="49" t="s">
        <v>681</v>
      </c>
      <c r="J1380" s="5" t="s">
        <v>102</v>
      </c>
    </row>
    <row r="1381" spans="1:10" ht="30">
      <c r="A1381" s="27" t="s">
        <v>3052</v>
      </c>
      <c r="B1381" s="22" t="s">
        <v>395</v>
      </c>
      <c r="C1381" s="4" t="s">
        <v>58</v>
      </c>
      <c r="D1381" s="22" t="s">
        <v>2372</v>
      </c>
      <c r="E1381" s="22" t="s">
        <v>100</v>
      </c>
      <c r="F1381" s="22">
        <v>10</v>
      </c>
      <c r="G1381" s="22" t="s">
        <v>232</v>
      </c>
      <c r="H1381" s="5">
        <v>4232.1428571428569</v>
      </c>
      <c r="I1381" s="49" t="s">
        <v>681</v>
      </c>
      <c r="J1381" s="5" t="s">
        <v>102</v>
      </c>
    </row>
    <row r="1382" spans="1:10" ht="30">
      <c r="A1382" s="27" t="s">
        <v>3053</v>
      </c>
      <c r="B1382" s="22" t="s">
        <v>395</v>
      </c>
      <c r="C1382" s="4" t="s">
        <v>58</v>
      </c>
      <c r="D1382" s="22" t="s">
        <v>2374</v>
      </c>
      <c r="E1382" s="22" t="s">
        <v>100</v>
      </c>
      <c r="F1382" s="22">
        <v>10</v>
      </c>
      <c r="G1382" s="22" t="s">
        <v>232</v>
      </c>
      <c r="H1382" s="5">
        <v>2571.4285714285711</v>
      </c>
      <c r="I1382" s="49" t="s">
        <v>681</v>
      </c>
      <c r="J1382" s="5" t="s">
        <v>102</v>
      </c>
    </row>
    <row r="1383" spans="1:10" ht="30">
      <c r="A1383" s="27" t="s">
        <v>3054</v>
      </c>
      <c r="B1383" s="22" t="s">
        <v>2531</v>
      </c>
      <c r="C1383" s="4" t="s">
        <v>58</v>
      </c>
      <c r="D1383" s="22" t="s">
        <v>2296</v>
      </c>
      <c r="E1383" s="22" t="s">
        <v>100</v>
      </c>
      <c r="F1383" s="22">
        <v>15</v>
      </c>
      <c r="G1383" s="22" t="s">
        <v>232</v>
      </c>
      <c r="H1383" s="5">
        <v>7901.7857142857138</v>
      </c>
      <c r="I1383" s="49" t="s">
        <v>681</v>
      </c>
      <c r="J1383" s="5" t="s">
        <v>102</v>
      </c>
    </row>
    <row r="1384" spans="1:10" ht="30">
      <c r="A1384" s="27" t="s">
        <v>3055</v>
      </c>
      <c r="B1384" s="22" t="s">
        <v>2480</v>
      </c>
      <c r="C1384" s="4" t="s">
        <v>58</v>
      </c>
      <c r="D1384" s="22" t="s">
        <v>2480</v>
      </c>
      <c r="E1384" s="22" t="s">
        <v>100</v>
      </c>
      <c r="F1384" s="22">
        <v>12</v>
      </c>
      <c r="G1384" s="22" t="s">
        <v>232</v>
      </c>
      <c r="H1384" s="5">
        <v>1799.9999999999995</v>
      </c>
      <c r="I1384" s="49" t="s">
        <v>681</v>
      </c>
      <c r="J1384" s="5" t="s">
        <v>102</v>
      </c>
    </row>
    <row r="1385" spans="1:10" ht="30">
      <c r="A1385" s="27" t="s">
        <v>3056</v>
      </c>
      <c r="B1385" s="22" t="s">
        <v>2340</v>
      </c>
      <c r="C1385" s="4" t="s">
        <v>58</v>
      </c>
      <c r="D1385" s="22" t="s">
        <v>2341</v>
      </c>
      <c r="E1385" s="22" t="s">
        <v>2342</v>
      </c>
      <c r="F1385" s="22">
        <v>10</v>
      </c>
      <c r="G1385" s="22" t="s">
        <v>232</v>
      </c>
      <c r="H1385" s="5">
        <v>2249.9999999999995</v>
      </c>
      <c r="I1385" s="49" t="s">
        <v>681</v>
      </c>
      <c r="J1385" s="5" t="s">
        <v>102</v>
      </c>
    </row>
    <row r="1386" spans="1:10" ht="30">
      <c r="A1386" s="27" t="s">
        <v>3057</v>
      </c>
      <c r="B1386" s="22" t="s">
        <v>2381</v>
      </c>
      <c r="C1386" s="4" t="s">
        <v>58</v>
      </c>
      <c r="D1386" s="22" t="s">
        <v>2381</v>
      </c>
      <c r="E1386" s="22" t="s">
        <v>100</v>
      </c>
      <c r="F1386" s="22">
        <v>20</v>
      </c>
      <c r="G1386" s="22" t="s">
        <v>232</v>
      </c>
      <c r="H1386" s="5">
        <v>29892.857142857141</v>
      </c>
      <c r="I1386" s="49" t="s">
        <v>681</v>
      </c>
      <c r="J1386" s="5" t="s">
        <v>102</v>
      </c>
    </row>
    <row r="1387" spans="1:10" ht="45">
      <c r="A1387" s="27" t="s">
        <v>3058</v>
      </c>
      <c r="B1387" s="17" t="s">
        <v>603</v>
      </c>
      <c r="C1387" s="4" t="s">
        <v>58</v>
      </c>
      <c r="D1387" s="22" t="s">
        <v>2350</v>
      </c>
      <c r="E1387" s="22" t="s">
        <v>604</v>
      </c>
      <c r="F1387" s="22">
        <v>252</v>
      </c>
      <c r="G1387" s="22" t="s">
        <v>862</v>
      </c>
      <c r="H1387" s="5">
        <v>299776.78571428568</v>
      </c>
      <c r="I1387" s="49" t="s">
        <v>681</v>
      </c>
      <c r="J1387" s="5" t="s">
        <v>102</v>
      </c>
    </row>
    <row r="1388" spans="1:10" ht="30">
      <c r="A1388" s="27" t="s">
        <v>3059</v>
      </c>
      <c r="B1388" s="22" t="s">
        <v>2352</v>
      </c>
      <c r="C1388" s="4" t="s">
        <v>58</v>
      </c>
      <c r="D1388" s="22" t="s">
        <v>2353</v>
      </c>
      <c r="E1388" s="22" t="s">
        <v>100</v>
      </c>
      <c r="F1388" s="22">
        <v>90</v>
      </c>
      <c r="G1388" s="22" t="s">
        <v>862</v>
      </c>
      <c r="H1388" s="5">
        <v>5303.5714285714284</v>
      </c>
      <c r="I1388" s="49" t="s">
        <v>681</v>
      </c>
      <c r="J1388" s="5" t="s">
        <v>102</v>
      </c>
    </row>
    <row r="1389" spans="1:10" ht="30">
      <c r="A1389" s="27" t="s">
        <v>3060</v>
      </c>
      <c r="B1389" s="17" t="s">
        <v>2355</v>
      </c>
      <c r="C1389" s="4" t="s">
        <v>58</v>
      </c>
      <c r="D1389" s="22" t="s">
        <v>2356</v>
      </c>
      <c r="E1389" s="22" t="s">
        <v>100</v>
      </c>
      <c r="F1389" s="22">
        <v>57</v>
      </c>
      <c r="G1389" s="22" t="s">
        <v>862</v>
      </c>
      <c r="H1389" s="5">
        <v>41785.714285714283</v>
      </c>
      <c r="I1389" s="49" t="s">
        <v>681</v>
      </c>
      <c r="J1389" s="5" t="s">
        <v>102</v>
      </c>
    </row>
    <row r="1390" spans="1:10" ht="30">
      <c r="A1390" s="27" t="s">
        <v>3061</v>
      </c>
      <c r="B1390" s="22" t="s">
        <v>2355</v>
      </c>
      <c r="C1390" s="4" t="s">
        <v>58</v>
      </c>
      <c r="D1390" s="22" t="s">
        <v>2358</v>
      </c>
      <c r="E1390" s="22" t="s">
        <v>100</v>
      </c>
      <c r="F1390" s="22">
        <v>28</v>
      </c>
      <c r="G1390" s="22" t="s">
        <v>862</v>
      </c>
      <c r="H1390" s="5">
        <v>14849.999999999998</v>
      </c>
      <c r="I1390" s="49" t="s">
        <v>681</v>
      </c>
      <c r="J1390" s="5" t="s">
        <v>102</v>
      </c>
    </row>
    <row r="1391" spans="1:10" ht="30">
      <c r="A1391" s="27" t="s">
        <v>3062</v>
      </c>
      <c r="B1391" s="22" t="s">
        <v>2458</v>
      </c>
      <c r="C1391" s="4" t="s">
        <v>58</v>
      </c>
      <c r="D1391" s="22" t="s">
        <v>2459</v>
      </c>
      <c r="E1391" s="22" t="s">
        <v>100</v>
      </c>
      <c r="F1391" s="22">
        <v>5</v>
      </c>
      <c r="G1391" s="22" t="s">
        <v>862</v>
      </c>
      <c r="H1391" s="5">
        <v>1607.1428571428569</v>
      </c>
      <c r="I1391" s="49" t="s">
        <v>681</v>
      </c>
      <c r="J1391" s="5" t="s">
        <v>102</v>
      </c>
    </row>
    <row r="1392" spans="1:10" ht="30">
      <c r="A1392" s="27" t="s">
        <v>3063</v>
      </c>
      <c r="B1392" s="22" t="s">
        <v>2461</v>
      </c>
      <c r="C1392" s="4" t="s">
        <v>58</v>
      </c>
      <c r="D1392" s="22" t="s">
        <v>2462</v>
      </c>
      <c r="E1392" s="22" t="s">
        <v>100</v>
      </c>
      <c r="F1392" s="22">
        <v>5</v>
      </c>
      <c r="G1392" s="22" t="s">
        <v>862</v>
      </c>
      <c r="H1392" s="5">
        <v>1607.1428571428569</v>
      </c>
      <c r="I1392" s="49" t="s">
        <v>681</v>
      </c>
      <c r="J1392" s="5" t="s">
        <v>102</v>
      </c>
    </row>
    <row r="1393" spans="1:10" ht="30">
      <c r="A1393" s="27" t="s">
        <v>3064</v>
      </c>
      <c r="B1393" s="22" t="s">
        <v>397</v>
      </c>
      <c r="C1393" s="4" t="s">
        <v>58</v>
      </c>
      <c r="D1393" s="22" t="s">
        <v>2360</v>
      </c>
      <c r="E1393" s="22" t="s">
        <v>100</v>
      </c>
      <c r="F1393" s="22">
        <v>38</v>
      </c>
      <c r="G1393" s="22" t="s">
        <v>862</v>
      </c>
      <c r="H1393" s="5">
        <v>27278.571428571424</v>
      </c>
      <c r="I1393" s="49" t="s">
        <v>681</v>
      </c>
      <c r="J1393" s="5" t="s">
        <v>102</v>
      </c>
    </row>
    <row r="1394" spans="1:10" ht="30">
      <c r="A1394" s="27" t="s">
        <v>3065</v>
      </c>
      <c r="B1394" s="22" t="s">
        <v>2362</v>
      </c>
      <c r="C1394" s="4" t="s">
        <v>58</v>
      </c>
      <c r="D1394" s="22" t="s">
        <v>2489</v>
      </c>
      <c r="E1394" s="22" t="s">
        <v>100</v>
      </c>
      <c r="F1394" s="22">
        <v>10</v>
      </c>
      <c r="G1394" s="22" t="s">
        <v>862</v>
      </c>
      <c r="H1394" s="5">
        <v>696.42857142857133</v>
      </c>
      <c r="I1394" s="49" t="s">
        <v>681</v>
      </c>
      <c r="J1394" s="5" t="s">
        <v>102</v>
      </c>
    </row>
    <row r="1395" spans="1:10" ht="30">
      <c r="A1395" s="27" t="s">
        <v>3066</v>
      </c>
      <c r="B1395" s="22" t="s">
        <v>2362</v>
      </c>
      <c r="C1395" s="4" t="s">
        <v>58</v>
      </c>
      <c r="D1395" s="22" t="s">
        <v>2363</v>
      </c>
      <c r="E1395" s="22" t="s">
        <v>100</v>
      </c>
      <c r="F1395" s="22">
        <v>70</v>
      </c>
      <c r="G1395" s="22" t="s">
        <v>862</v>
      </c>
      <c r="H1395" s="5">
        <v>1875</v>
      </c>
      <c r="I1395" s="49" t="s">
        <v>681</v>
      </c>
      <c r="J1395" s="5" t="s">
        <v>102</v>
      </c>
    </row>
    <row r="1396" spans="1:10" ht="30">
      <c r="A1396" s="27" t="s">
        <v>3067</v>
      </c>
      <c r="B1396" s="22" t="s">
        <v>2388</v>
      </c>
      <c r="C1396" s="4" t="s">
        <v>58</v>
      </c>
      <c r="D1396" s="22" t="s">
        <v>2389</v>
      </c>
      <c r="E1396" s="22" t="s">
        <v>100</v>
      </c>
      <c r="F1396" s="22">
        <v>180</v>
      </c>
      <c r="G1396" s="22" t="s">
        <v>862</v>
      </c>
      <c r="H1396" s="5">
        <v>2314.2857142857142</v>
      </c>
      <c r="I1396" s="49" t="s">
        <v>681</v>
      </c>
      <c r="J1396" s="5" t="s">
        <v>102</v>
      </c>
    </row>
    <row r="1397" spans="1:10" ht="30">
      <c r="A1397" s="27" t="s">
        <v>3068</v>
      </c>
      <c r="B1397" s="17" t="s">
        <v>2212</v>
      </c>
      <c r="C1397" s="4" t="s">
        <v>58</v>
      </c>
      <c r="D1397" s="22" t="s">
        <v>2213</v>
      </c>
      <c r="E1397" s="22" t="s">
        <v>100</v>
      </c>
      <c r="F1397" s="22">
        <v>13</v>
      </c>
      <c r="G1397" s="22" t="s">
        <v>862</v>
      </c>
      <c r="H1397" s="5">
        <v>18196.071428571428</v>
      </c>
      <c r="I1397" s="49" t="s">
        <v>681</v>
      </c>
      <c r="J1397" s="5" t="s">
        <v>102</v>
      </c>
    </row>
    <row r="1398" spans="1:10" ht="30">
      <c r="A1398" s="27" t="s">
        <v>3069</v>
      </c>
      <c r="B1398" s="17" t="s">
        <v>2212</v>
      </c>
      <c r="C1398" s="4" t="s">
        <v>58</v>
      </c>
      <c r="D1398" s="22" t="s">
        <v>2494</v>
      </c>
      <c r="E1398" s="22" t="s">
        <v>100</v>
      </c>
      <c r="F1398" s="22">
        <v>10</v>
      </c>
      <c r="G1398" s="22" t="s">
        <v>862</v>
      </c>
      <c r="H1398" s="5">
        <v>12658.928571428571</v>
      </c>
      <c r="I1398" s="49" t="s">
        <v>681</v>
      </c>
      <c r="J1398" s="5" t="s">
        <v>102</v>
      </c>
    </row>
    <row r="1399" spans="1:10" ht="30">
      <c r="A1399" s="27" t="s">
        <v>3070</v>
      </c>
      <c r="B1399" s="22" t="s">
        <v>2313</v>
      </c>
      <c r="C1399" s="4" t="s">
        <v>58</v>
      </c>
      <c r="D1399" s="22" t="s">
        <v>2313</v>
      </c>
      <c r="E1399" s="22" t="s">
        <v>100</v>
      </c>
      <c r="F1399" s="22">
        <v>70</v>
      </c>
      <c r="G1399" s="22" t="s">
        <v>862</v>
      </c>
      <c r="H1399" s="5">
        <v>2499.9999999999995</v>
      </c>
      <c r="I1399" s="49" t="s">
        <v>681</v>
      </c>
      <c r="J1399" s="5" t="s">
        <v>102</v>
      </c>
    </row>
    <row r="1400" spans="1:10" ht="30">
      <c r="A1400" s="27" t="s">
        <v>3071</v>
      </c>
      <c r="B1400" s="22" t="s">
        <v>2276</v>
      </c>
      <c r="C1400" s="4" t="s">
        <v>58</v>
      </c>
      <c r="D1400" s="22" t="s">
        <v>2684</v>
      </c>
      <c r="E1400" s="22" t="s">
        <v>100</v>
      </c>
      <c r="F1400" s="22">
        <v>100</v>
      </c>
      <c r="G1400" s="22" t="s">
        <v>862</v>
      </c>
      <c r="H1400" s="5">
        <v>14464.285714285714</v>
      </c>
      <c r="I1400" s="49" t="s">
        <v>681</v>
      </c>
      <c r="J1400" s="5" t="s">
        <v>102</v>
      </c>
    </row>
    <row r="1401" spans="1:10" ht="30">
      <c r="A1401" s="27" t="s">
        <v>3072</v>
      </c>
      <c r="B1401" s="17" t="s">
        <v>2276</v>
      </c>
      <c r="C1401" s="4" t="s">
        <v>58</v>
      </c>
      <c r="D1401" s="22" t="s">
        <v>2315</v>
      </c>
      <c r="E1401" s="22" t="s">
        <v>2316</v>
      </c>
      <c r="F1401" s="22">
        <v>9</v>
      </c>
      <c r="G1401" s="22" t="s">
        <v>862</v>
      </c>
      <c r="H1401" s="5">
        <v>7499.9999999999991</v>
      </c>
      <c r="I1401" s="49" t="s">
        <v>681</v>
      </c>
      <c r="J1401" s="5" t="s">
        <v>102</v>
      </c>
    </row>
    <row r="1402" spans="1:10" ht="30">
      <c r="A1402" s="27" t="s">
        <v>3073</v>
      </c>
      <c r="B1402" s="22" t="s">
        <v>2180</v>
      </c>
      <c r="C1402" s="4" t="s">
        <v>58</v>
      </c>
      <c r="D1402" s="22" t="s">
        <v>2318</v>
      </c>
      <c r="E1402" s="22" t="s">
        <v>100</v>
      </c>
      <c r="F1402" s="22">
        <v>180</v>
      </c>
      <c r="G1402" s="22" t="s">
        <v>862</v>
      </c>
      <c r="H1402" s="5">
        <v>12053.571428571428</v>
      </c>
      <c r="I1402" s="49" t="s">
        <v>681</v>
      </c>
      <c r="J1402" s="5" t="s">
        <v>102</v>
      </c>
    </row>
    <row r="1403" spans="1:10" ht="30">
      <c r="A1403" s="27" t="s">
        <v>3074</v>
      </c>
      <c r="B1403" s="22" t="s">
        <v>2180</v>
      </c>
      <c r="C1403" s="4" t="s">
        <v>58</v>
      </c>
      <c r="D1403" s="22" t="s">
        <v>2393</v>
      </c>
      <c r="E1403" s="22" t="s">
        <v>100</v>
      </c>
      <c r="F1403" s="22">
        <v>190</v>
      </c>
      <c r="G1403" s="22" t="s">
        <v>862</v>
      </c>
      <c r="H1403" s="5">
        <v>18999.999999999996</v>
      </c>
      <c r="I1403" s="49" t="s">
        <v>681</v>
      </c>
      <c r="J1403" s="5" t="s">
        <v>102</v>
      </c>
    </row>
    <row r="1404" spans="1:10" ht="30">
      <c r="A1404" s="27" t="s">
        <v>3075</v>
      </c>
      <c r="B1404" s="22" t="s">
        <v>1253</v>
      </c>
      <c r="C1404" s="4" t="s">
        <v>58</v>
      </c>
      <c r="D1404" s="22" t="s">
        <v>2320</v>
      </c>
      <c r="E1404" s="22" t="s">
        <v>100</v>
      </c>
      <c r="F1404" s="22">
        <v>72</v>
      </c>
      <c r="G1404" s="22" t="s">
        <v>862</v>
      </c>
      <c r="H1404" s="5">
        <v>19671.428571428569</v>
      </c>
      <c r="I1404" s="49" t="s">
        <v>681</v>
      </c>
      <c r="J1404" s="5" t="s">
        <v>102</v>
      </c>
    </row>
    <row r="1405" spans="1:10" ht="30">
      <c r="A1405" s="27" t="s">
        <v>3076</v>
      </c>
      <c r="B1405" s="22" t="s">
        <v>2287</v>
      </c>
      <c r="C1405" s="4" t="s">
        <v>58</v>
      </c>
      <c r="D1405" s="22" t="s">
        <v>2322</v>
      </c>
      <c r="E1405" s="22" t="s">
        <v>100</v>
      </c>
      <c r="F1405" s="22">
        <v>45</v>
      </c>
      <c r="G1405" s="22" t="s">
        <v>862</v>
      </c>
      <c r="H1405" s="5">
        <v>19044.642857142855</v>
      </c>
      <c r="I1405" s="49" t="s">
        <v>681</v>
      </c>
      <c r="J1405" s="5" t="s">
        <v>102</v>
      </c>
    </row>
    <row r="1406" spans="1:10" ht="30">
      <c r="A1406" s="27" t="s">
        <v>3077</v>
      </c>
      <c r="B1406" s="22" t="s">
        <v>2396</v>
      </c>
      <c r="C1406" s="4" t="s">
        <v>58</v>
      </c>
      <c r="D1406" s="22" t="s">
        <v>2396</v>
      </c>
      <c r="E1406" s="22" t="s">
        <v>100</v>
      </c>
      <c r="F1406" s="22">
        <v>114</v>
      </c>
      <c r="G1406" s="22" t="s">
        <v>862</v>
      </c>
      <c r="H1406" s="5">
        <v>10382.142857142857</v>
      </c>
      <c r="I1406" s="49" t="s">
        <v>681</v>
      </c>
      <c r="J1406" s="5" t="s">
        <v>102</v>
      </c>
    </row>
    <row r="1407" spans="1:10" ht="30">
      <c r="A1407" s="27" t="s">
        <v>3078</v>
      </c>
      <c r="B1407" s="22" t="s">
        <v>1253</v>
      </c>
      <c r="C1407" s="4" t="s">
        <v>58</v>
      </c>
      <c r="D1407" s="22" t="s">
        <v>2324</v>
      </c>
      <c r="E1407" s="22" t="s">
        <v>100</v>
      </c>
      <c r="F1407" s="22">
        <v>14</v>
      </c>
      <c r="G1407" s="22" t="s">
        <v>862</v>
      </c>
      <c r="H1407" s="5">
        <v>18524.999999999996</v>
      </c>
      <c r="I1407" s="49" t="s">
        <v>681</v>
      </c>
      <c r="J1407" s="5" t="s">
        <v>102</v>
      </c>
    </row>
    <row r="1408" spans="1:10" ht="30">
      <c r="A1408" s="27" t="s">
        <v>3079</v>
      </c>
      <c r="B1408" s="22" t="s">
        <v>2326</v>
      </c>
      <c r="C1408" s="4" t="s">
        <v>58</v>
      </c>
      <c r="D1408" s="22" t="s">
        <v>2326</v>
      </c>
      <c r="E1408" s="22" t="s">
        <v>100</v>
      </c>
      <c r="F1408" s="22">
        <v>290</v>
      </c>
      <c r="G1408" s="22" t="s">
        <v>862</v>
      </c>
      <c r="H1408" s="5">
        <v>3728.571428571428</v>
      </c>
      <c r="I1408" s="49" t="s">
        <v>681</v>
      </c>
      <c r="J1408" s="5" t="s">
        <v>102</v>
      </c>
    </row>
    <row r="1409" spans="1:10" ht="30">
      <c r="A1409" s="27" t="s">
        <v>3080</v>
      </c>
      <c r="B1409" s="22" t="s">
        <v>2248</v>
      </c>
      <c r="C1409" s="4" t="s">
        <v>58</v>
      </c>
      <c r="D1409" s="22" t="s">
        <v>2248</v>
      </c>
      <c r="E1409" s="22" t="s">
        <v>100</v>
      </c>
      <c r="F1409" s="22">
        <v>40</v>
      </c>
      <c r="G1409" s="22" t="s">
        <v>862</v>
      </c>
      <c r="H1409" s="5">
        <v>3428.5714285714284</v>
      </c>
      <c r="I1409" s="49" t="s">
        <v>681</v>
      </c>
      <c r="J1409" s="5" t="s">
        <v>102</v>
      </c>
    </row>
    <row r="1410" spans="1:10" ht="30">
      <c r="A1410" s="27" t="s">
        <v>3081</v>
      </c>
      <c r="B1410" s="22" t="s">
        <v>2208</v>
      </c>
      <c r="C1410" s="4" t="s">
        <v>58</v>
      </c>
      <c r="D1410" s="22" t="s">
        <v>2208</v>
      </c>
      <c r="E1410" s="22" t="s">
        <v>100</v>
      </c>
      <c r="F1410" s="22">
        <v>55</v>
      </c>
      <c r="G1410" s="22" t="s">
        <v>862</v>
      </c>
      <c r="H1410" s="5">
        <v>2357.1428571428569</v>
      </c>
      <c r="I1410" s="49" t="s">
        <v>681</v>
      </c>
      <c r="J1410" s="5" t="s">
        <v>102</v>
      </c>
    </row>
    <row r="1411" spans="1:10" ht="30">
      <c r="A1411" s="27" t="s">
        <v>3082</v>
      </c>
      <c r="B1411" s="22" t="s">
        <v>2505</v>
      </c>
      <c r="C1411" s="4" t="s">
        <v>58</v>
      </c>
      <c r="D1411" s="22" t="s">
        <v>2506</v>
      </c>
      <c r="E1411" s="22" t="s">
        <v>100</v>
      </c>
      <c r="F1411" s="22">
        <v>70</v>
      </c>
      <c r="G1411" s="22" t="s">
        <v>862</v>
      </c>
      <c r="H1411" s="5">
        <v>5249.9999999999991</v>
      </c>
      <c r="I1411" s="49" t="s">
        <v>681</v>
      </c>
      <c r="J1411" s="5" t="s">
        <v>102</v>
      </c>
    </row>
    <row r="1412" spans="1:10" ht="30">
      <c r="A1412" s="27" t="s">
        <v>3083</v>
      </c>
      <c r="B1412" s="22" t="s">
        <v>2280</v>
      </c>
      <c r="C1412" s="4" t="s">
        <v>58</v>
      </c>
      <c r="D1412" s="22" t="s">
        <v>2280</v>
      </c>
      <c r="E1412" s="22" t="s">
        <v>100</v>
      </c>
      <c r="F1412" s="22">
        <v>45</v>
      </c>
      <c r="G1412" s="22" t="s">
        <v>862</v>
      </c>
      <c r="H1412" s="5">
        <v>12776.785714285712</v>
      </c>
      <c r="I1412" s="49" t="s">
        <v>681</v>
      </c>
      <c r="J1412" s="5" t="s">
        <v>102</v>
      </c>
    </row>
    <row r="1413" spans="1:10" ht="30">
      <c r="A1413" s="27" t="s">
        <v>3084</v>
      </c>
      <c r="B1413" s="22" t="s">
        <v>2401</v>
      </c>
      <c r="C1413" s="4" t="s">
        <v>58</v>
      </c>
      <c r="D1413" s="22" t="s">
        <v>2401</v>
      </c>
      <c r="E1413" s="22" t="s">
        <v>100</v>
      </c>
      <c r="F1413" s="22">
        <v>5</v>
      </c>
      <c r="G1413" s="22" t="s">
        <v>862</v>
      </c>
      <c r="H1413" s="5">
        <v>1446.4285714285713</v>
      </c>
      <c r="I1413" s="49" t="s">
        <v>681</v>
      </c>
      <c r="J1413" s="5" t="s">
        <v>102</v>
      </c>
    </row>
    <row r="1414" spans="1:10" ht="30">
      <c r="A1414" s="27" t="s">
        <v>3085</v>
      </c>
      <c r="B1414" s="22" t="s">
        <v>2403</v>
      </c>
      <c r="C1414" s="4" t="s">
        <v>58</v>
      </c>
      <c r="D1414" s="22" t="s">
        <v>2403</v>
      </c>
      <c r="E1414" s="22" t="s">
        <v>100</v>
      </c>
      <c r="F1414" s="22">
        <v>20</v>
      </c>
      <c r="G1414" s="22" t="s">
        <v>862</v>
      </c>
      <c r="H1414" s="5">
        <v>3535.7142857142853</v>
      </c>
      <c r="I1414" s="49" t="s">
        <v>681</v>
      </c>
      <c r="J1414" s="5" t="s">
        <v>102</v>
      </c>
    </row>
    <row r="1415" spans="1:10" ht="30">
      <c r="A1415" s="27" t="s">
        <v>3086</v>
      </c>
      <c r="B1415" s="22" t="s">
        <v>2405</v>
      </c>
      <c r="C1415" s="4" t="s">
        <v>58</v>
      </c>
      <c r="D1415" s="22" t="s">
        <v>2405</v>
      </c>
      <c r="E1415" s="22" t="s">
        <v>100</v>
      </c>
      <c r="F1415" s="22">
        <v>16</v>
      </c>
      <c r="G1415" s="22" t="s">
        <v>862</v>
      </c>
      <c r="H1415" s="5">
        <v>7999.9999999999991</v>
      </c>
      <c r="I1415" s="49" t="s">
        <v>681</v>
      </c>
      <c r="J1415" s="5" t="s">
        <v>102</v>
      </c>
    </row>
    <row r="1416" spans="1:10" ht="30">
      <c r="A1416" s="27" t="s">
        <v>3087</v>
      </c>
      <c r="B1416" s="22" t="s">
        <v>2171</v>
      </c>
      <c r="C1416" s="4" t="s">
        <v>58</v>
      </c>
      <c r="D1416" s="22" t="s">
        <v>2407</v>
      </c>
      <c r="E1416" s="22" t="s">
        <v>100</v>
      </c>
      <c r="F1416" s="22">
        <v>5</v>
      </c>
      <c r="G1416" s="22" t="s">
        <v>862</v>
      </c>
      <c r="H1416" s="5">
        <v>19374.999999999996</v>
      </c>
      <c r="I1416" s="49" t="s">
        <v>681</v>
      </c>
      <c r="J1416" s="5" t="s">
        <v>102</v>
      </c>
    </row>
    <row r="1417" spans="1:10" ht="30">
      <c r="A1417" s="27" t="s">
        <v>3088</v>
      </c>
      <c r="B1417" s="22" t="s">
        <v>2305</v>
      </c>
      <c r="C1417" s="4" t="s">
        <v>58</v>
      </c>
      <c r="D1417" s="22" t="s">
        <v>2305</v>
      </c>
      <c r="E1417" s="22" t="s">
        <v>604</v>
      </c>
      <c r="F1417" s="22">
        <v>83</v>
      </c>
      <c r="G1417" s="22" t="s">
        <v>862</v>
      </c>
      <c r="H1417" s="5">
        <v>16451.785714285714</v>
      </c>
      <c r="I1417" s="49" t="s">
        <v>681</v>
      </c>
      <c r="J1417" s="5" t="s">
        <v>102</v>
      </c>
    </row>
    <row r="1418" spans="1:10" ht="30">
      <c r="A1418" s="27" t="s">
        <v>3089</v>
      </c>
      <c r="B1418" s="22" t="s">
        <v>2238</v>
      </c>
      <c r="C1418" s="4" t="s">
        <v>58</v>
      </c>
      <c r="D1418" s="22" t="s">
        <v>2225</v>
      </c>
      <c r="E1418" s="22" t="s">
        <v>604</v>
      </c>
      <c r="F1418" s="22">
        <v>95</v>
      </c>
      <c r="G1418" s="22" t="s">
        <v>862</v>
      </c>
      <c r="H1418" s="5">
        <v>8142.8571428571422</v>
      </c>
      <c r="I1418" s="49" t="s">
        <v>681</v>
      </c>
      <c r="J1418" s="5" t="s">
        <v>102</v>
      </c>
    </row>
    <row r="1419" spans="1:10" ht="30">
      <c r="A1419" s="27" t="s">
        <v>3090</v>
      </c>
      <c r="B1419" s="22" t="s">
        <v>2369</v>
      </c>
      <c r="C1419" s="4" t="s">
        <v>58</v>
      </c>
      <c r="D1419" s="22" t="s">
        <v>2369</v>
      </c>
      <c r="E1419" s="22" t="s">
        <v>604</v>
      </c>
      <c r="F1419" s="22">
        <v>49</v>
      </c>
      <c r="G1419" s="22" t="s">
        <v>862</v>
      </c>
      <c r="H1419" s="5">
        <v>2362.4999999999995</v>
      </c>
      <c r="I1419" s="49" t="s">
        <v>681</v>
      </c>
      <c r="J1419" s="5" t="s">
        <v>102</v>
      </c>
    </row>
    <row r="1420" spans="1:10" ht="30">
      <c r="A1420" s="27" t="s">
        <v>3091</v>
      </c>
      <c r="B1420" s="22" t="s">
        <v>2233</v>
      </c>
      <c r="C1420" s="4" t="s">
        <v>58</v>
      </c>
      <c r="D1420" s="22" t="s">
        <v>2412</v>
      </c>
      <c r="E1420" s="22" t="s">
        <v>100</v>
      </c>
      <c r="F1420" s="22">
        <v>27</v>
      </c>
      <c r="G1420" s="22" t="s">
        <v>862</v>
      </c>
      <c r="H1420" s="5">
        <v>13885.714285714284</v>
      </c>
      <c r="I1420" s="49" t="s">
        <v>681</v>
      </c>
      <c r="J1420" s="5" t="s">
        <v>102</v>
      </c>
    </row>
    <row r="1421" spans="1:10" ht="30">
      <c r="A1421" s="27" t="s">
        <v>3092</v>
      </c>
      <c r="B1421" s="22" t="s">
        <v>2233</v>
      </c>
      <c r="C1421" s="4" t="s">
        <v>58</v>
      </c>
      <c r="D1421" s="22" t="s">
        <v>2414</v>
      </c>
      <c r="E1421" s="22" t="s">
        <v>100</v>
      </c>
      <c r="F1421" s="22">
        <v>61</v>
      </c>
      <c r="G1421" s="22" t="s">
        <v>862</v>
      </c>
      <c r="H1421" s="5">
        <v>44769.642857142848</v>
      </c>
      <c r="I1421" s="49" t="s">
        <v>681</v>
      </c>
      <c r="J1421" s="5" t="s">
        <v>102</v>
      </c>
    </row>
    <row r="1422" spans="1:10" ht="30">
      <c r="A1422" s="27" t="s">
        <v>3093</v>
      </c>
      <c r="B1422" s="22" t="s">
        <v>2174</v>
      </c>
      <c r="C1422" s="4" t="s">
        <v>58</v>
      </c>
      <c r="D1422" s="22" t="s">
        <v>2174</v>
      </c>
      <c r="E1422" s="22" t="s">
        <v>100</v>
      </c>
      <c r="F1422" s="22">
        <v>51</v>
      </c>
      <c r="G1422" s="22" t="s">
        <v>862</v>
      </c>
      <c r="H1422" s="5">
        <v>6830.3571428571422</v>
      </c>
      <c r="I1422" s="49" t="s">
        <v>681</v>
      </c>
      <c r="J1422" s="5" t="s">
        <v>102</v>
      </c>
    </row>
    <row r="1423" spans="1:10" ht="30">
      <c r="A1423" s="27" t="s">
        <v>3094</v>
      </c>
      <c r="B1423" s="22" t="s">
        <v>2417</v>
      </c>
      <c r="C1423" s="4" t="s">
        <v>58</v>
      </c>
      <c r="D1423" s="22" t="s">
        <v>2418</v>
      </c>
      <c r="E1423" s="22" t="s">
        <v>604</v>
      </c>
      <c r="F1423" s="22">
        <v>121</v>
      </c>
      <c r="G1423" s="22" t="s">
        <v>862</v>
      </c>
      <c r="H1423" s="5">
        <v>18149.999999999996</v>
      </c>
      <c r="I1423" s="49" t="s">
        <v>681</v>
      </c>
      <c r="J1423" s="5" t="s">
        <v>102</v>
      </c>
    </row>
    <row r="1424" spans="1:10" ht="30">
      <c r="A1424" s="27" t="s">
        <v>3095</v>
      </c>
      <c r="B1424" s="22" t="s">
        <v>2417</v>
      </c>
      <c r="C1424" s="4" t="s">
        <v>58</v>
      </c>
      <c r="D1424" s="22" t="s">
        <v>2420</v>
      </c>
      <c r="E1424" s="22" t="s">
        <v>604</v>
      </c>
      <c r="F1424" s="22">
        <v>46</v>
      </c>
      <c r="G1424" s="22" t="s">
        <v>862</v>
      </c>
      <c r="H1424" s="5">
        <v>17742.857142857141</v>
      </c>
      <c r="I1424" s="49" t="s">
        <v>681</v>
      </c>
      <c r="J1424" s="5" t="s">
        <v>102</v>
      </c>
    </row>
    <row r="1425" spans="1:10" ht="30">
      <c r="A1425" s="27" t="s">
        <v>3096</v>
      </c>
      <c r="B1425" s="22" t="s">
        <v>2417</v>
      </c>
      <c r="C1425" s="4" t="s">
        <v>58</v>
      </c>
      <c r="D1425" s="22" t="s">
        <v>2422</v>
      </c>
      <c r="E1425" s="22" t="s">
        <v>604</v>
      </c>
      <c r="F1425" s="22">
        <v>36</v>
      </c>
      <c r="G1425" s="22" t="s">
        <v>862</v>
      </c>
      <c r="H1425" s="5">
        <v>22949.999999999996</v>
      </c>
      <c r="I1425" s="49" t="s">
        <v>681</v>
      </c>
      <c r="J1425" s="5" t="s">
        <v>102</v>
      </c>
    </row>
    <row r="1426" spans="1:10" ht="30">
      <c r="A1426" s="27" t="s">
        <v>3097</v>
      </c>
      <c r="B1426" s="22" t="s">
        <v>2203</v>
      </c>
      <c r="C1426" s="4" t="s">
        <v>58</v>
      </c>
      <c r="D1426" s="22" t="s">
        <v>2204</v>
      </c>
      <c r="E1426" s="22" t="s">
        <v>100</v>
      </c>
      <c r="F1426" s="22">
        <v>52</v>
      </c>
      <c r="G1426" s="22" t="s">
        <v>862</v>
      </c>
      <c r="H1426" s="5">
        <v>7799.9999999999982</v>
      </c>
      <c r="I1426" s="49" t="s">
        <v>681</v>
      </c>
      <c r="J1426" s="5" t="s">
        <v>102</v>
      </c>
    </row>
    <row r="1427" spans="1:10" ht="30">
      <c r="A1427" s="27" t="s">
        <v>3098</v>
      </c>
      <c r="B1427" s="22" t="s">
        <v>2330</v>
      </c>
      <c r="C1427" s="4" t="s">
        <v>58</v>
      </c>
      <c r="D1427" s="22" t="s">
        <v>2330</v>
      </c>
      <c r="E1427" s="22" t="s">
        <v>100</v>
      </c>
      <c r="F1427" s="22">
        <v>5</v>
      </c>
      <c r="G1427" s="22" t="s">
        <v>862</v>
      </c>
      <c r="H1427" s="5">
        <v>267.85714285714283</v>
      </c>
      <c r="I1427" s="49" t="s">
        <v>681</v>
      </c>
      <c r="J1427" s="5" t="s">
        <v>102</v>
      </c>
    </row>
    <row r="1428" spans="1:10" ht="30">
      <c r="A1428" s="27" t="s">
        <v>3099</v>
      </c>
      <c r="B1428" s="22" t="s">
        <v>2650</v>
      </c>
      <c r="C1428" s="4" t="s">
        <v>58</v>
      </c>
      <c r="D1428" s="22" t="s">
        <v>2651</v>
      </c>
      <c r="E1428" s="22" t="s">
        <v>100</v>
      </c>
      <c r="F1428" s="22">
        <v>20</v>
      </c>
      <c r="G1428" s="22" t="s">
        <v>862</v>
      </c>
      <c r="H1428" s="5">
        <v>8482.1428571428569</v>
      </c>
      <c r="I1428" s="49" t="s">
        <v>681</v>
      </c>
      <c r="J1428" s="5" t="s">
        <v>102</v>
      </c>
    </row>
    <row r="1429" spans="1:10" ht="30">
      <c r="A1429" s="27" t="s">
        <v>3100</v>
      </c>
      <c r="B1429" s="22" t="s">
        <v>2332</v>
      </c>
      <c r="C1429" s="4" t="s">
        <v>58</v>
      </c>
      <c r="D1429" s="22" t="s">
        <v>2333</v>
      </c>
      <c r="E1429" s="22" t="s">
        <v>100</v>
      </c>
      <c r="F1429" s="22">
        <v>40</v>
      </c>
      <c r="G1429" s="22" t="s">
        <v>862</v>
      </c>
      <c r="H1429" s="5">
        <v>3428.5714285714284</v>
      </c>
      <c r="I1429" s="49" t="s">
        <v>681</v>
      </c>
      <c r="J1429" s="5" t="s">
        <v>102</v>
      </c>
    </row>
    <row r="1430" spans="1:10" ht="30">
      <c r="A1430" s="27" t="s">
        <v>3101</v>
      </c>
      <c r="B1430" s="22" t="s">
        <v>2335</v>
      </c>
      <c r="C1430" s="4" t="s">
        <v>58</v>
      </c>
      <c r="D1430" s="22" t="s">
        <v>2336</v>
      </c>
      <c r="E1430" s="22" t="s">
        <v>100</v>
      </c>
      <c r="F1430" s="22">
        <v>103</v>
      </c>
      <c r="G1430" s="22" t="s">
        <v>862</v>
      </c>
      <c r="H1430" s="5">
        <v>24370.53571428571</v>
      </c>
      <c r="I1430" s="49" t="s">
        <v>681</v>
      </c>
      <c r="J1430" s="5" t="s">
        <v>102</v>
      </c>
    </row>
    <row r="1431" spans="1:10" ht="30">
      <c r="A1431" s="27" t="s">
        <v>3102</v>
      </c>
      <c r="B1431" s="22" t="s">
        <v>2427</v>
      </c>
      <c r="C1431" s="4" t="s">
        <v>58</v>
      </c>
      <c r="D1431" s="22" t="s">
        <v>2427</v>
      </c>
      <c r="E1431" s="22" t="s">
        <v>100</v>
      </c>
      <c r="F1431" s="22">
        <v>24</v>
      </c>
      <c r="G1431" s="22" t="s">
        <v>862</v>
      </c>
      <c r="H1431" s="5">
        <v>44999.999999999993</v>
      </c>
      <c r="I1431" s="49" t="s">
        <v>681</v>
      </c>
      <c r="J1431" s="5" t="s">
        <v>102</v>
      </c>
    </row>
    <row r="1432" spans="1:10" ht="30">
      <c r="A1432" s="27" t="s">
        <v>3103</v>
      </c>
      <c r="B1432" s="22" t="s">
        <v>443</v>
      </c>
      <c r="C1432" s="4" t="s">
        <v>58</v>
      </c>
      <c r="D1432" s="22" t="s">
        <v>2215</v>
      </c>
      <c r="E1432" s="22" t="s">
        <v>100</v>
      </c>
      <c r="F1432" s="22">
        <v>19</v>
      </c>
      <c r="G1432" s="22" t="s">
        <v>862</v>
      </c>
      <c r="H1432" s="5">
        <v>2748.2142857142858</v>
      </c>
      <c r="I1432" s="49" t="s">
        <v>681</v>
      </c>
      <c r="J1432" s="5" t="s">
        <v>102</v>
      </c>
    </row>
    <row r="1433" spans="1:10" ht="30">
      <c r="A1433" s="27" t="s">
        <v>3104</v>
      </c>
      <c r="B1433" s="22" t="s">
        <v>2430</v>
      </c>
      <c r="C1433" s="4" t="s">
        <v>58</v>
      </c>
      <c r="D1433" s="22" t="s">
        <v>2431</v>
      </c>
      <c r="E1433" s="22" t="s">
        <v>100</v>
      </c>
      <c r="F1433" s="22">
        <v>31</v>
      </c>
      <c r="G1433" s="22" t="s">
        <v>862</v>
      </c>
      <c r="H1433" s="5">
        <v>10296.428571428571</v>
      </c>
      <c r="I1433" s="49" t="s">
        <v>681</v>
      </c>
      <c r="J1433" s="5" t="s">
        <v>102</v>
      </c>
    </row>
    <row r="1434" spans="1:10" ht="30">
      <c r="A1434" s="27" t="s">
        <v>3105</v>
      </c>
      <c r="B1434" s="22" t="s">
        <v>2270</v>
      </c>
      <c r="C1434" s="4" t="s">
        <v>58</v>
      </c>
      <c r="D1434" s="22" t="s">
        <v>2271</v>
      </c>
      <c r="E1434" s="22" t="s">
        <v>100</v>
      </c>
      <c r="F1434" s="22">
        <v>57</v>
      </c>
      <c r="G1434" s="22" t="s">
        <v>862</v>
      </c>
      <c r="H1434" s="5">
        <v>109928.57142857142</v>
      </c>
      <c r="I1434" s="49" t="s">
        <v>681</v>
      </c>
      <c r="J1434" s="5" t="s">
        <v>102</v>
      </c>
    </row>
    <row r="1435" spans="1:10" ht="30">
      <c r="A1435" s="27" t="s">
        <v>3106</v>
      </c>
      <c r="B1435" s="22" t="s">
        <v>395</v>
      </c>
      <c r="C1435" s="4" t="s">
        <v>58</v>
      </c>
      <c r="D1435" s="22" t="s">
        <v>2372</v>
      </c>
      <c r="E1435" s="22" t="s">
        <v>100</v>
      </c>
      <c r="F1435" s="22">
        <v>50</v>
      </c>
      <c r="G1435" s="22" t="s">
        <v>862</v>
      </c>
      <c r="H1435" s="5">
        <v>21160.714285714283</v>
      </c>
      <c r="I1435" s="49" t="s">
        <v>681</v>
      </c>
      <c r="J1435" s="5" t="s">
        <v>102</v>
      </c>
    </row>
    <row r="1436" spans="1:10" ht="30">
      <c r="A1436" s="27" t="s">
        <v>3107</v>
      </c>
      <c r="B1436" s="22" t="s">
        <v>395</v>
      </c>
      <c r="C1436" s="4" t="s">
        <v>58</v>
      </c>
      <c r="D1436" s="22" t="s">
        <v>2374</v>
      </c>
      <c r="E1436" s="22" t="s">
        <v>100</v>
      </c>
      <c r="F1436" s="22">
        <v>33</v>
      </c>
      <c r="G1436" s="22" t="s">
        <v>862</v>
      </c>
      <c r="H1436" s="5">
        <v>8485.7142857142844</v>
      </c>
      <c r="I1436" s="49" t="s">
        <v>681</v>
      </c>
      <c r="J1436" s="5" t="s">
        <v>102</v>
      </c>
    </row>
    <row r="1437" spans="1:10" ht="30">
      <c r="A1437" s="27" t="s">
        <v>3108</v>
      </c>
      <c r="B1437" s="22" t="s">
        <v>395</v>
      </c>
      <c r="C1437" s="4" t="s">
        <v>58</v>
      </c>
      <c r="D1437" s="22" t="s">
        <v>2338</v>
      </c>
      <c r="E1437" s="22" t="s">
        <v>100</v>
      </c>
      <c r="F1437" s="22">
        <v>27</v>
      </c>
      <c r="G1437" s="22" t="s">
        <v>862</v>
      </c>
      <c r="H1437" s="5">
        <v>1036.6071428571427</v>
      </c>
      <c r="I1437" s="49" t="s">
        <v>681</v>
      </c>
      <c r="J1437" s="5" t="s">
        <v>102</v>
      </c>
    </row>
    <row r="1438" spans="1:10" ht="30">
      <c r="A1438" s="27" t="s">
        <v>3109</v>
      </c>
      <c r="B1438" s="22" t="s">
        <v>2377</v>
      </c>
      <c r="C1438" s="4" t="s">
        <v>58</v>
      </c>
      <c r="D1438" s="22" t="s">
        <v>2378</v>
      </c>
      <c r="E1438" s="22" t="s">
        <v>100</v>
      </c>
      <c r="F1438" s="22">
        <v>90</v>
      </c>
      <c r="G1438" s="22" t="s">
        <v>862</v>
      </c>
      <c r="H1438" s="5">
        <v>23625</v>
      </c>
      <c r="I1438" s="49" t="s">
        <v>681</v>
      </c>
      <c r="J1438" s="5" t="s">
        <v>102</v>
      </c>
    </row>
    <row r="1439" spans="1:10" ht="30">
      <c r="A1439" s="27" t="s">
        <v>3110</v>
      </c>
      <c r="B1439" s="22" t="s">
        <v>2437</v>
      </c>
      <c r="C1439" s="4" t="s">
        <v>58</v>
      </c>
      <c r="D1439" s="22" t="s">
        <v>2438</v>
      </c>
      <c r="E1439" s="22" t="s">
        <v>100</v>
      </c>
      <c r="F1439" s="22">
        <v>1</v>
      </c>
      <c r="G1439" s="22" t="s">
        <v>862</v>
      </c>
      <c r="H1439" s="5">
        <v>187.49999999999997</v>
      </c>
      <c r="I1439" s="49" t="s">
        <v>681</v>
      </c>
      <c r="J1439" s="5" t="s">
        <v>102</v>
      </c>
    </row>
    <row r="1440" spans="1:10" ht="30">
      <c r="A1440" s="27" t="s">
        <v>3111</v>
      </c>
      <c r="B1440" s="22" t="s">
        <v>2531</v>
      </c>
      <c r="C1440" s="4" t="s">
        <v>58</v>
      </c>
      <c r="D1440" s="22" t="s">
        <v>2296</v>
      </c>
      <c r="E1440" s="22" t="s">
        <v>100</v>
      </c>
      <c r="F1440" s="22">
        <v>14</v>
      </c>
      <c r="G1440" s="22" t="s">
        <v>862</v>
      </c>
      <c r="H1440" s="5">
        <v>7374.9999999999991</v>
      </c>
      <c r="I1440" s="49" t="s">
        <v>681</v>
      </c>
      <c r="J1440" s="5" t="s">
        <v>102</v>
      </c>
    </row>
    <row r="1441" spans="1:10" ht="30">
      <c r="A1441" s="27" t="s">
        <v>3112</v>
      </c>
      <c r="B1441" s="22" t="s">
        <v>2480</v>
      </c>
      <c r="C1441" s="4" t="s">
        <v>58</v>
      </c>
      <c r="D1441" s="22" t="s">
        <v>2480</v>
      </c>
      <c r="E1441" s="22" t="s">
        <v>100</v>
      </c>
      <c r="F1441" s="22">
        <v>27</v>
      </c>
      <c r="G1441" s="22" t="s">
        <v>862</v>
      </c>
      <c r="H1441" s="5">
        <v>4049.9999999999991</v>
      </c>
      <c r="I1441" s="49" t="s">
        <v>681</v>
      </c>
      <c r="J1441" s="5" t="s">
        <v>102</v>
      </c>
    </row>
    <row r="1442" spans="1:10" ht="30">
      <c r="A1442" s="27" t="s">
        <v>3113</v>
      </c>
      <c r="B1442" s="22" t="s">
        <v>2340</v>
      </c>
      <c r="C1442" s="4" t="s">
        <v>58</v>
      </c>
      <c r="D1442" s="22" t="s">
        <v>2341</v>
      </c>
      <c r="E1442" s="22" t="s">
        <v>2342</v>
      </c>
      <c r="F1442" s="22">
        <v>42</v>
      </c>
      <c r="G1442" s="22" t="s">
        <v>862</v>
      </c>
      <c r="H1442" s="5">
        <v>9449.9999999999982</v>
      </c>
      <c r="I1442" s="49" t="s">
        <v>681</v>
      </c>
      <c r="J1442" s="5" t="s">
        <v>102</v>
      </c>
    </row>
    <row r="1443" spans="1:10" ht="30">
      <c r="A1443" s="27" t="s">
        <v>3114</v>
      </c>
      <c r="B1443" s="22" t="s">
        <v>2440</v>
      </c>
      <c r="C1443" s="4" t="s">
        <v>58</v>
      </c>
      <c r="D1443" s="22" t="s">
        <v>2440</v>
      </c>
      <c r="E1443" s="22" t="s">
        <v>100</v>
      </c>
      <c r="F1443" s="22">
        <v>20</v>
      </c>
      <c r="G1443" s="22" t="s">
        <v>862</v>
      </c>
      <c r="H1443" s="5">
        <v>10071.428571428571</v>
      </c>
      <c r="I1443" s="49" t="s">
        <v>681</v>
      </c>
      <c r="J1443" s="5" t="s">
        <v>102</v>
      </c>
    </row>
    <row r="1444" spans="1:10" ht="30">
      <c r="A1444" s="27" t="s">
        <v>3115</v>
      </c>
      <c r="B1444" s="22" t="s">
        <v>2381</v>
      </c>
      <c r="C1444" s="4" t="s">
        <v>58</v>
      </c>
      <c r="D1444" s="22" t="s">
        <v>2381</v>
      </c>
      <c r="E1444" s="22" t="s">
        <v>100</v>
      </c>
      <c r="F1444" s="22">
        <v>123</v>
      </c>
      <c r="G1444" s="22" t="s">
        <v>862</v>
      </c>
      <c r="H1444" s="5">
        <v>183841.07142857142</v>
      </c>
      <c r="I1444" s="49" t="s">
        <v>681</v>
      </c>
      <c r="J1444" s="5" t="s">
        <v>102</v>
      </c>
    </row>
    <row r="1445" spans="1:10" ht="30">
      <c r="A1445" s="27" t="s">
        <v>3116</v>
      </c>
      <c r="B1445" s="22" t="s">
        <v>2537</v>
      </c>
      <c r="C1445" s="4" t="s">
        <v>58</v>
      </c>
      <c r="D1445" s="22" t="s">
        <v>2537</v>
      </c>
      <c r="E1445" s="22" t="s">
        <v>100</v>
      </c>
      <c r="F1445" s="22">
        <v>2</v>
      </c>
      <c r="G1445" s="22" t="s">
        <v>862</v>
      </c>
      <c r="H1445" s="5">
        <v>27392.857142857141</v>
      </c>
      <c r="I1445" s="49" t="s">
        <v>681</v>
      </c>
      <c r="J1445" s="5" t="s">
        <v>102</v>
      </c>
    </row>
    <row r="1446" spans="1:10" ht="30">
      <c r="A1446" s="27" t="s">
        <v>3117</v>
      </c>
      <c r="B1446" s="22" t="s">
        <v>3118</v>
      </c>
      <c r="C1446" s="4" t="s">
        <v>58</v>
      </c>
      <c r="D1446" s="22" t="s">
        <v>3118</v>
      </c>
      <c r="E1446" s="22" t="s">
        <v>100</v>
      </c>
      <c r="F1446" s="22">
        <v>1</v>
      </c>
      <c r="G1446" s="22" t="s">
        <v>862</v>
      </c>
      <c r="H1446" s="5">
        <v>2232.1428571428569</v>
      </c>
      <c r="I1446" s="49" t="s">
        <v>681</v>
      </c>
      <c r="J1446" s="5" t="s">
        <v>102</v>
      </c>
    </row>
    <row r="1447" spans="1:10" ht="30">
      <c r="A1447" s="27" t="s">
        <v>3119</v>
      </c>
      <c r="B1447" s="22" t="s">
        <v>2600</v>
      </c>
      <c r="C1447" s="4" t="s">
        <v>58</v>
      </c>
      <c r="D1447" s="22" t="s">
        <v>2600</v>
      </c>
      <c r="E1447" s="22" t="s">
        <v>100</v>
      </c>
      <c r="F1447" s="22">
        <v>2</v>
      </c>
      <c r="G1447" s="22" t="s">
        <v>862</v>
      </c>
      <c r="H1447" s="5">
        <v>1785.7142857142856</v>
      </c>
      <c r="I1447" s="49" t="s">
        <v>681</v>
      </c>
      <c r="J1447" s="5" t="s">
        <v>102</v>
      </c>
    </row>
    <row r="1448" spans="1:10" ht="30">
      <c r="A1448" s="27" t="s">
        <v>3120</v>
      </c>
      <c r="B1448" s="22" t="s">
        <v>2346</v>
      </c>
      <c r="C1448" s="4" t="s">
        <v>58</v>
      </c>
      <c r="D1448" s="22" t="s">
        <v>2346</v>
      </c>
      <c r="E1448" s="22" t="s">
        <v>100</v>
      </c>
      <c r="F1448" s="22">
        <v>50</v>
      </c>
      <c r="G1448" s="22" t="s">
        <v>862</v>
      </c>
      <c r="H1448" s="5">
        <v>31874.999999999993</v>
      </c>
      <c r="I1448" s="49" t="s">
        <v>681</v>
      </c>
      <c r="J1448" s="5" t="s">
        <v>102</v>
      </c>
    </row>
    <row r="1449" spans="1:10" ht="30">
      <c r="A1449" s="27" t="s">
        <v>1555</v>
      </c>
      <c r="B1449" s="12" t="s">
        <v>235</v>
      </c>
      <c r="C1449" s="4" t="s">
        <v>578</v>
      </c>
      <c r="D1449" s="3" t="s">
        <v>235</v>
      </c>
      <c r="E1449" s="4" t="s">
        <v>578</v>
      </c>
      <c r="F1449" s="4" t="s">
        <v>578</v>
      </c>
      <c r="G1449" s="4" t="s">
        <v>101</v>
      </c>
      <c r="H1449" s="13">
        <f>SUM(H1450:H1458)</f>
        <v>6434652</v>
      </c>
      <c r="I1449" s="22" t="s">
        <v>578</v>
      </c>
      <c r="J1449" s="5" t="s">
        <v>102</v>
      </c>
    </row>
    <row r="1450" spans="1:10" ht="30">
      <c r="A1450" s="27" t="s">
        <v>1556</v>
      </c>
      <c r="B1450" s="3" t="s">
        <v>240</v>
      </c>
      <c r="C1450" s="3" t="s">
        <v>60</v>
      </c>
      <c r="D1450" s="3" t="s">
        <v>839</v>
      </c>
      <c r="E1450" s="3" t="s">
        <v>336</v>
      </c>
      <c r="F1450" s="6">
        <v>1</v>
      </c>
      <c r="G1450" s="3" t="s">
        <v>101</v>
      </c>
      <c r="H1450" s="5">
        <v>595152</v>
      </c>
      <c r="I1450" s="3" t="s">
        <v>681</v>
      </c>
      <c r="J1450" s="5" t="s">
        <v>102</v>
      </c>
    </row>
    <row r="1451" spans="1:10" ht="30">
      <c r="A1451" s="27" t="s">
        <v>1557</v>
      </c>
      <c r="B1451" s="22" t="s">
        <v>240</v>
      </c>
      <c r="C1451" s="22" t="s">
        <v>60</v>
      </c>
      <c r="D1451" s="22" t="s">
        <v>840</v>
      </c>
      <c r="E1451" s="22" t="s">
        <v>336</v>
      </c>
      <c r="F1451" s="6">
        <v>1</v>
      </c>
      <c r="G1451" s="22" t="s">
        <v>101</v>
      </c>
      <c r="H1451" s="5">
        <v>290000</v>
      </c>
      <c r="I1451" s="22" t="s">
        <v>681</v>
      </c>
      <c r="J1451" s="5" t="s">
        <v>102</v>
      </c>
    </row>
    <row r="1452" spans="1:10" ht="30">
      <c r="A1452" s="27" t="s">
        <v>1558</v>
      </c>
      <c r="B1452" s="22" t="s">
        <v>240</v>
      </c>
      <c r="C1452" s="22" t="s">
        <v>60</v>
      </c>
      <c r="D1452" s="22" t="s">
        <v>841</v>
      </c>
      <c r="E1452" s="22" t="s">
        <v>336</v>
      </c>
      <c r="F1452" s="6">
        <v>1</v>
      </c>
      <c r="G1452" s="22" t="s">
        <v>101</v>
      </c>
      <c r="H1452" s="5">
        <v>448000</v>
      </c>
      <c r="I1452" s="22" t="s">
        <v>681</v>
      </c>
      <c r="J1452" s="5" t="s">
        <v>102</v>
      </c>
    </row>
    <row r="1453" spans="1:10" ht="30">
      <c r="A1453" s="27" t="s">
        <v>1559</v>
      </c>
      <c r="B1453" s="22" t="s">
        <v>240</v>
      </c>
      <c r="C1453" s="22" t="s">
        <v>60</v>
      </c>
      <c r="D1453" s="22" t="s">
        <v>842</v>
      </c>
      <c r="E1453" s="22" t="s">
        <v>336</v>
      </c>
      <c r="F1453" s="6">
        <v>1</v>
      </c>
      <c r="G1453" s="22" t="s">
        <v>101</v>
      </c>
      <c r="H1453" s="5">
        <v>896000</v>
      </c>
      <c r="I1453" s="22" t="s">
        <v>681</v>
      </c>
      <c r="J1453" s="5" t="s">
        <v>102</v>
      </c>
    </row>
    <row r="1454" spans="1:10" ht="30">
      <c r="A1454" s="27" t="s">
        <v>1560</v>
      </c>
      <c r="B1454" s="22" t="s">
        <v>240</v>
      </c>
      <c r="C1454" s="22" t="s">
        <v>60</v>
      </c>
      <c r="D1454" s="22" t="s">
        <v>843</v>
      </c>
      <c r="E1454" s="22" t="s">
        <v>336</v>
      </c>
      <c r="F1454" s="6">
        <v>1</v>
      </c>
      <c r="G1454" s="22" t="s">
        <v>101</v>
      </c>
      <c r="H1454" s="5">
        <v>358000</v>
      </c>
      <c r="I1454" s="22" t="s">
        <v>681</v>
      </c>
      <c r="J1454" s="5" t="s">
        <v>102</v>
      </c>
    </row>
    <row r="1455" spans="1:10" ht="30">
      <c r="A1455" s="27" t="s">
        <v>1561</v>
      </c>
      <c r="B1455" s="22" t="s">
        <v>240</v>
      </c>
      <c r="C1455" s="22" t="s">
        <v>60</v>
      </c>
      <c r="D1455" s="22" t="s">
        <v>844</v>
      </c>
      <c r="E1455" s="22" t="s">
        <v>336</v>
      </c>
      <c r="F1455" s="6">
        <v>1</v>
      </c>
      <c r="G1455" s="22" t="s">
        <v>101</v>
      </c>
      <c r="H1455" s="5">
        <v>287000</v>
      </c>
      <c r="I1455" s="22" t="s">
        <v>681</v>
      </c>
      <c r="J1455" s="5" t="s">
        <v>102</v>
      </c>
    </row>
    <row r="1456" spans="1:10" ht="30">
      <c r="A1456" s="27" t="s">
        <v>1562</v>
      </c>
      <c r="B1456" s="22" t="s">
        <v>240</v>
      </c>
      <c r="C1456" s="22" t="s">
        <v>60</v>
      </c>
      <c r="D1456" s="22" t="s">
        <v>845</v>
      </c>
      <c r="E1456" s="22" t="s">
        <v>336</v>
      </c>
      <c r="F1456" s="6">
        <v>1</v>
      </c>
      <c r="G1456" s="22" t="s">
        <v>101</v>
      </c>
      <c r="H1456" s="5">
        <f>220000+880000</f>
        <v>1100000</v>
      </c>
      <c r="I1456" s="22" t="s">
        <v>681</v>
      </c>
      <c r="J1456" s="5" t="s">
        <v>102</v>
      </c>
    </row>
    <row r="1457" spans="1:10" ht="30">
      <c r="A1457" s="27" t="s">
        <v>1563</v>
      </c>
      <c r="B1457" s="22" t="s">
        <v>589</v>
      </c>
      <c r="C1457" s="22" t="s">
        <v>59</v>
      </c>
      <c r="D1457" s="22" t="s">
        <v>237</v>
      </c>
      <c r="E1457" s="22" t="s">
        <v>336</v>
      </c>
      <c r="F1457" s="6">
        <v>1</v>
      </c>
      <c r="G1457" s="22" t="s">
        <v>101</v>
      </c>
      <c r="H1457" s="5">
        <f>1512000+925000</f>
        <v>2437000</v>
      </c>
      <c r="I1457" s="22" t="s">
        <v>681</v>
      </c>
      <c r="J1457" s="5" t="s">
        <v>102</v>
      </c>
    </row>
    <row r="1458" spans="1:10" ht="45">
      <c r="A1458" s="27" t="s">
        <v>1564</v>
      </c>
      <c r="B1458" s="3" t="s">
        <v>250</v>
      </c>
      <c r="C1458" s="3" t="s">
        <v>60</v>
      </c>
      <c r="D1458" s="3" t="s">
        <v>236</v>
      </c>
      <c r="E1458" s="3" t="s">
        <v>336</v>
      </c>
      <c r="F1458" s="6">
        <v>1</v>
      </c>
      <c r="G1458" s="3" t="s">
        <v>101</v>
      </c>
      <c r="H1458" s="5">
        <v>23500</v>
      </c>
      <c r="I1458" s="22" t="s">
        <v>681</v>
      </c>
      <c r="J1458" s="5" t="s">
        <v>102</v>
      </c>
    </row>
    <row r="1459" spans="1:10" ht="30">
      <c r="A1459" s="27" t="s">
        <v>1565</v>
      </c>
      <c r="B1459" s="12" t="s">
        <v>285</v>
      </c>
      <c r="C1459" s="4" t="s">
        <v>578</v>
      </c>
      <c r="D1459" s="3" t="s">
        <v>285</v>
      </c>
      <c r="E1459" s="4" t="s">
        <v>578</v>
      </c>
      <c r="F1459" s="4" t="s">
        <v>578</v>
      </c>
      <c r="G1459" s="3" t="s">
        <v>125</v>
      </c>
      <c r="H1459" s="13">
        <f>SUM(H1460:H1591)</f>
        <v>34687650</v>
      </c>
      <c r="I1459" s="3" t="s">
        <v>578</v>
      </c>
      <c r="J1459" s="5" t="s">
        <v>102</v>
      </c>
    </row>
    <row r="1460" spans="1:10" ht="30">
      <c r="A1460" s="27" t="s">
        <v>1566</v>
      </c>
      <c r="B1460" s="3" t="s">
        <v>240</v>
      </c>
      <c r="C1460" s="3" t="s">
        <v>59</v>
      </c>
      <c r="D1460" s="3" t="s">
        <v>846</v>
      </c>
      <c r="E1460" s="3" t="s">
        <v>336</v>
      </c>
      <c r="F1460" s="6">
        <v>1</v>
      </c>
      <c r="G1460" s="3" t="s">
        <v>211</v>
      </c>
      <c r="H1460" s="5">
        <v>225000</v>
      </c>
      <c r="I1460" s="22" t="s">
        <v>681</v>
      </c>
      <c r="J1460" s="5" t="s">
        <v>102</v>
      </c>
    </row>
    <row r="1461" spans="1:10" ht="30">
      <c r="A1461" s="27" t="s">
        <v>1567</v>
      </c>
      <c r="B1461" s="3" t="s">
        <v>592</v>
      </c>
      <c r="C1461" s="22" t="s">
        <v>59</v>
      </c>
      <c r="D1461" s="22" t="s">
        <v>846</v>
      </c>
      <c r="E1461" s="3" t="s">
        <v>336</v>
      </c>
      <c r="F1461" s="6">
        <v>1</v>
      </c>
      <c r="G1461" s="3" t="s">
        <v>216</v>
      </c>
      <c r="H1461" s="5">
        <f>182000-38000</f>
        <v>144000</v>
      </c>
      <c r="I1461" s="22" t="s">
        <v>681</v>
      </c>
      <c r="J1461" s="5" t="s">
        <v>102</v>
      </c>
    </row>
    <row r="1462" spans="1:10" ht="30">
      <c r="A1462" s="27" t="s">
        <v>1568</v>
      </c>
      <c r="B1462" s="3" t="s">
        <v>240</v>
      </c>
      <c r="C1462" s="22" t="s">
        <v>59</v>
      </c>
      <c r="D1462" s="22" t="s">
        <v>846</v>
      </c>
      <c r="E1462" s="3" t="s">
        <v>336</v>
      </c>
      <c r="F1462" s="6">
        <v>1</v>
      </c>
      <c r="G1462" s="22" t="s">
        <v>217</v>
      </c>
      <c r="H1462" s="5">
        <f>282000-52023.26</f>
        <v>229976.74</v>
      </c>
      <c r="I1462" s="22" t="s">
        <v>681</v>
      </c>
      <c r="J1462" s="5" t="s">
        <v>102</v>
      </c>
    </row>
    <row r="1463" spans="1:10" ht="30">
      <c r="A1463" s="27" t="s">
        <v>1569</v>
      </c>
      <c r="B1463" s="3" t="s">
        <v>240</v>
      </c>
      <c r="C1463" s="22" t="s">
        <v>59</v>
      </c>
      <c r="D1463" s="22" t="s">
        <v>846</v>
      </c>
      <c r="E1463" s="3" t="s">
        <v>336</v>
      </c>
      <c r="F1463" s="6">
        <v>1</v>
      </c>
      <c r="G1463" s="3" t="s">
        <v>218</v>
      </c>
      <c r="H1463" s="5">
        <v>185000</v>
      </c>
      <c r="I1463" s="22" t="s">
        <v>681</v>
      </c>
      <c r="J1463" s="5" t="s">
        <v>102</v>
      </c>
    </row>
    <row r="1464" spans="1:10" ht="30">
      <c r="A1464" s="27" t="s">
        <v>1570</v>
      </c>
      <c r="B1464" s="3" t="s">
        <v>240</v>
      </c>
      <c r="C1464" s="22" t="s">
        <v>59</v>
      </c>
      <c r="D1464" s="22" t="s">
        <v>846</v>
      </c>
      <c r="E1464" s="3" t="s">
        <v>336</v>
      </c>
      <c r="F1464" s="6">
        <v>1</v>
      </c>
      <c r="G1464" s="22" t="s">
        <v>219</v>
      </c>
      <c r="H1464" s="5">
        <v>260000</v>
      </c>
      <c r="I1464" s="22" t="s">
        <v>681</v>
      </c>
      <c r="J1464" s="5" t="s">
        <v>102</v>
      </c>
    </row>
    <row r="1465" spans="1:10" ht="30">
      <c r="A1465" s="27" t="s">
        <v>1571</v>
      </c>
      <c r="B1465" s="3" t="s">
        <v>240</v>
      </c>
      <c r="C1465" s="22" t="s">
        <v>59</v>
      </c>
      <c r="D1465" s="22" t="s">
        <v>846</v>
      </c>
      <c r="E1465" s="3" t="s">
        <v>336</v>
      </c>
      <c r="F1465" s="6">
        <v>1</v>
      </c>
      <c r="G1465" s="3" t="s">
        <v>242</v>
      </c>
      <c r="H1465" s="5">
        <v>220000</v>
      </c>
      <c r="I1465" s="22" t="s">
        <v>681</v>
      </c>
      <c r="J1465" s="5" t="s">
        <v>102</v>
      </c>
    </row>
    <row r="1466" spans="1:10" ht="30">
      <c r="A1466" s="27" t="s">
        <v>1572</v>
      </c>
      <c r="B1466" s="3" t="s">
        <v>240</v>
      </c>
      <c r="C1466" s="22" t="s">
        <v>59</v>
      </c>
      <c r="D1466" s="22" t="s">
        <v>846</v>
      </c>
      <c r="E1466" s="3" t="s">
        <v>336</v>
      </c>
      <c r="F1466" s="6">
        <v>1</v>
      </c>
      <c r="G1466" s="3" t="s">
        <v>251</v>
      </c>
      <c r="H1466" s="5">
        <f>136000-25000</f>
        <v>111000</v>
      </c>
      <c r="I1466" s="22" t="s">
        <v>681</v>
      </c>
      <c r="J1466" s="5" t="s">
        <v>102</v>
      </c>
    </row>
    <row r="1467" spans="1:10" ht="30">
      <c r="A1467" s="27" t="s">
        <v>1573</v>
      </c>
      <c r="B1467" s="3" t="s">
        <v>240</v>
      </c>
      <c r="C1467" s="22" t="s">
        <v>59</v>
      </c>
      <c r="D1467" s="22" t="s">
        <v>846</v>
      </c>
      <c r="E1467" s="3" t="s">
        <v>336</v>
      </c>
      <c r="F1467" s="6">
        <v>1</v>
      </c>
      <c r="G1467" s="3" t="s">
        <v>221</v>
      </c>
      <c r="H1467" s="5">
        <v>256000</v>
      </c>
      <c r="I1467" s="22" t="s">
        <v>681</v>
      </c>
      <c r="J1467" s="5" t="s">
        <v>102</v>
      </c>
    </row>
    <row r="1468" spans="1:10" ht="30">
      <c r="A1468" s="27" t="s">
        <v>1574</v>
      </c>
      <c r="B1468" s="3" t="s">
        <v>240</v>
      </c>
      <c r="C1468" s="22" t="s">
        <v>59</v>
      </c>
      <c r="D1468" s="22" t="s">
        <v>846</v>
      </c>
      <c r="E1468" s="3" t="s">
        <v>336</v>
      </c>
      <c r="F1468" s="6">
        <v>1</v>
      </c>
      <c r="G1468" s="3" t="s">
        <v>252</v>
      </c>
      <c r="H1468" s="5">
        <v>136000</v>
      </c>
      <c r="I1468" s="22" t="s">
        <v>681</v>
      </c>
      <c r="J1468" s="5" t="s">
        <v>102</v>
      </c>
    </row>
    <row r="1469" spans="1:10" ht="30">
      <c r="A1469" s="27" t="s">
        <v>1575</v>
      </c>
      <c r="B1469" s="3" t="s">
        <v>240</v>
      </c>
      <c r="C1469" s="22" t="s">
        <v>59</v>
      </c>
      <c r="D1469" s="22" t="s">
        <v>846</v>
      </c>
      <c r="E1469" s="3" t="s">
        <v>336</v>
      </c>
      <c r="F1469" s="6">
        <v>1</v>
      </c>
      <c r="G1469" s="3" t="s">
        <v>223</v>
      </c>
      <c r="H1469" s="5">
        <v>180000</v>
      </c>
      <c r="I1469" s="22" t="s">
        <v>681</v>
      </c>
      <c r="J1469" s="5" t="s">
        <v>102</v>
      </c>
    </row>
    <row r="1470" spans="1:10" ht="30">
      <c r="A1470" s="27" t="s">
        <v>1576</v>
      </c>
      <c r="B1470" s="3" t="s">
        <v>240</v>
      </c>
      <c r="C1470" s="22" t="s">
        <v>59</v>
      </c>
      <c r="D1470" s="22" t="s">
        <v>846</v>
      </c>
      <c r="E1470" s="3" t="s">
        <v>336</v>
      </c>
      <c r="F1470" s="6">
        <v>1</v>
      </c>
      <c r="G1470" s="3" t="s">
        <v>225</v>
      </c>
      <c r="H1470" s="5">
        <v>196000</v>
      </c>
      <c r="I1470" s="22" t="s">
        <v>681</v>
      </c>
      <c r="J1470" s="5" t="s">
        <v>102</v>
      </c>
    </row>
    <row r="1471" spans="1:10" ht="30">
      <c r="A1471" s="27" t="s">
        <v>1577</v>
      </c>
      <c r="B1471" s="3" t="s">
        <v>240</v>
      </c>
      <c r="C1471" s="22" t="s">
        <v>59</v>
      </c>
      <c r="D1471" s="22" t="s">
        <v>846</v>
      </c>
      <c r="E1471" s="3" t="s">
        <v>336</v>
      </c>
      <c r="F1471" s="6">
        <v>1</v>
      </c>
      <c r="G1471" s="3" t="s">
        <v>226</v>
      </c>
      <c r="H1471" s="5">
        <v>304000</v>
      </c>
      <c r="I1471" s="22" t="s">
        <v>681</v>
      </c>
      <c r="J1471" s="5" t="s">
        <v>102</v>
      </c>
    </row>
    <row r="1472" spans="1:10" ht="30">
      <c r="A1472" s="27" t="s">
        <v>1578</v>
      </c>
      <c r="B1472" s="3" t="s">
        <v>240</v>
      </c>
      <c r="C1472" s="22" t="s">
        <v>59</v>
      </c>
      <c r="D1472" s="22" t="s">
        <v>846</v>
      </c>
      <c r="E1472" s="3" t="s">
        <v>336</v>
      </c>
      <c r="F1472" s="6">
        <v>1</v>
      </c>
      <c r="G1472" s="3" t="s">
        <v>244</v>
      </c>
      <c r="H1472" s="5">
        <v>192000</v>
      </c>
      <c r="I1472" s="22" t="s">
        <v>681</v>
      </c>
      <c r="J1472" s="5" t="s">
        <v>102</v>
      </c>
    </row>
    <row r="1473" spans="1:10" ht="30">
      <c r="A1473" s="27" t="s">
        <v>1579</v>
      </c>
      <c r="B1473" s="3" t="s">
        <v>240</v>
      </c>
      <c r="C1473" s="22" t="s">
        <v>59</v>
      </c>
      <c r="D1473" s="22" t="s">
        <v>846</v>
      </c>
      <c r="E1473" s="3" t="s">
        <v>336</v>
      </c>
      <c r="F1473" s="6">
        <v>1</v>
      </c>
      <c r="G1473" s="3" t="s">
        <v>228</v>
      </c>
      <c r="H1473" s="5">
        <v>220000</v>
      </c>
      <c r="I1473" s="22" t="s">
        <v>681</v>
      </c>
      <c r="J1473" s="5" t="s">
        <v>102</v>
      </c>
    </row>
    <row r="1474" spans="1:10" ht="30">
      <c r="A1474" s="27" t="s">
        <v>1580</v>
      </c>
      <c r="B1474" s="3" t="s">
        <v>240</v>
      </c>
      <c r="C1474" s="22" t="s">
        <v>59</v>
      </c>
      <c r="D1474" s="22" t="s">
        <v>846</v>
      </c>
      <c r="E1474" s="3" t="s">
        <v>336</v>
      </c>
      <c r="F1474" s="6">
        <v>1</v>
      </c>
      <c r="G1474" s="3" t="s">
        <v>245</v>
      </c>
      <c r="H1474" s="5">
        <f>296000-44000</f>
        <v>252000</v>
      </c>
      <c r="I1474" s="22" t="s">
        <v>681</v>
      </c>
      <c r="J1474" s="5" t="s">
        <v>102</v>
      </c>
    </row>
    <row r="1475" spans="1:10" ht="30">
      <c r="A1475" s="27" t="s">
        <v>1581</v>
      </c>
      <c r="B1475" s="3" t="s">
        <v>240</v>
      </c>
      <c r="C1475" s="22" t="s">
        <v>59</v>
      </c>
      <c r="D1475" s="22" t="s">
        <v>846</v>
      </c>
      <c r="E1475" s="3" t="s">
        <v>336</v>
      </c>
      <c r="F1475" s="6">
        <v>1</v>
      </c>
      <c r="G1475" s="3" t="s">
        <v>246</v>
      </c>
      <c r="H1475" s="5">
        <v>445600</v>
      </c>
      <c r="I1475" s="22" t="s">
        <v>681</v>
      </c>
      <c r="J1475" s="5" t="s">
        <v>102</v>
      </c>
    </row>
    <row r="1476" spans="1:10" ht="30">
      <c r="A1476" s="27" t="s">
        <v>1582</v>
      </c>
      <c r="B1476" s="3" t="s">
        <v>240</v>
      </c>
      <c r="C1476" s="22" t="s">
        <v>59</v>
      </c>
      <c r="D1476" s="22" t="s">
        <v>846</v>
      </c>
      <c r="E1476" s="3" t="s">
        <v>336</v>
      </c>
      <c r="F1476" s="6">
        <v>1</v>
      </c>
      <c r="G1476" s="3" t="s">
        <v>248</v>
      </c>
      <c r="H1476" s="5">
        <f>220000-50000</f>
        <v>170000</v>
      </c>
      <c r="I1476" s="22" t="s">
        <v>681</v>
      </c>
      <c r="J1476" s="5" t="s">
        <v>102</v>
      </c>
    </row>
    <row r="1477" spans="1:10" ht="30">
      <c r="A1477" s="27" t="s">
        <v>1583</v>
      </c>
      <c r="B1477" s="3" t="s">
        <v>240</v>
      </c>
      <c r="C1477" s="22" t="s">
        <v>59</v>
      </c>
      <c r="D1477" s="22" t="s">
        <v>846</v>
      </c>
      <c r="E1477" s="3" t="s">
        <v>336</v>
      </c>
      <c r="F1477" s="6">
        <v>1</v>
      </c>
      <c r="G1477" s="3" t="s">
        <v>233</v>
      </c>
      <c r="H1477" s="5">
        <v>340000</v>
      </c>
      <c r="I1477" s="22" t="s">
        <v>681</v>
      </c>
      <c r="J1477" s="5" t="s">
        <v>102</v>
      </c>
    </row>
    <row r="1478" spans="1:10" ht="30">
      <c r="A1478" s="27" t="s">
        <v>1584</v>
      </c>
      <c r="B1478" s="3" t="s">
        <v>240</v>
      </c>
      <c r="C1478" s="22" t="s">
        <v>59</v>
      </c>
      <c r="D1478" s="22" t="s">
        <v>847</v>
      </c>
      <c r="E1478" s="3" t="s">
        <v>336</v>
      </c>
      <c r="F1478" s="6">
        <v>1</v>
      </c>
      <c r="G1478" s="3" t="s">
        <v>221</v>
      </c>
      <c r="H1478" s="5">
        <f>344000-25000</f>
        <v>319000</v>
      </c>
      <c r="I1478" s="22" t="s">
        <v>681</v>
      </c>
      <c r="J1478" s="5" t="s">
        <v>102</v>
      </c>
    </row>
    <row r="1479" spans="1:10" ht="30">
      <c r="A1479" s="27" t="s">
        <v>1585</v>
      </c>
      <c r="B1479" s="3" t="s">
        <v>240</v>
      </c>
      <c r="C1479" s="3" t="s">
        <v>60</v>
      </c>
      <c r="D1479" s="3" t="s">
        <v>241</v>
      </c>
      <c r="E1479" s="3" t="s">
        <v>336</v>
      </c>
      <c r="F1479" s="6">
        <v>1</v>
      </c>
      <c r="G1479" s="3" t="s">
        <v>211</v>
      </c>
      <c r="H1479" s="5">
        <v>310000</v>
      </c>
      <c r="I1479" s="22" t="s">
        <v>681</v>
      </c>
      <c r="J1479" s="5" t="s">
        <v>102</v>
      </c>
    </row>
    <row r="1480" spans="1:10" ht="30">
      <c r="A1480" s="27" t="s">
        <v>1586</v>
      </c>
      <c r="B1480" s="3" t="s">
        <v>240</v>
      </c>
      <c r="C1480" s="22" t="s">
        <v>60</v>
      </c>
      <c r="D1480" s="22" t="s">
        <v>241</v>
      </c>
      <c r="E1480" s="3" t="s">
        <v>336</v>
      </c>
      <c r="F1480" s="6">
        <v>1</v>
      </c>
      <c r="G1480" s="3" t="s">
        <v>218</v>
      </c>
      <c r="H1480" s="5">
        <v>308000</v>
      </c>
      <c r="I1480" s="22" t="s">
        <v>681</v>
      </c>
      <c r="J1480" s="5" t="s">
        <v>102</v>
      </c>
    </row>
    <row r="1481" spans="1:10" ht="30">
      <c r="A1481" s="27" t="s">
        <v>1587</v>
      </c>
      <c r="B1481" s="3" t="s">
        <v>240</v>
      </c>
      <c r="C1481" s="22" t="s">
        <v>60</v>
      </c>
      <c r="D1481" s="22" t="s">
        <v>241</v>
      </c>
      <c r="E1481" s="3" t="s">
        <v>336</v>
      </c>
      <c r="F1481" s="6">
        <v>1</v>
      </c>
      <c r="G1481" s="3" t="s">
        <v>245</v>
      </c>
      <c r="H1481" s="5">
        <v>383800</v>
      </c>
      <c r="I1481" s="22" t="s">
        <v>681</v>
      </c>
      <c r="J1481" s="5" t="s">
        <v>102</v>
      </c>
    </row>
    <row r="1482" spans="1:10" ht="30">
      <c r="A1482" s="27" t="s">
        <v>1588</v>
      </c>
      <c r="B1482" s="3" t="s">
        <v>240</v>
      </c>
      <c r="C1482" s="22" t="s">
        <v>60</v>
      </c>
      <c r="D1482" s="22" t="s">
        <v>241</v>
      </c>
      <c r="E1482" s="3" t="s">
        <v>336</v>
      </c>
      <c r="F1482" s="6">
        <v>1</v>
      </c>
      <c r="G1482" s="3" t="s">
        <v>233</v>
      </c>
      <c r="H1482" s="5">
        <v>560000</v>
      </c>
      <c r="I1482" s="22" t="s">
        <v>681</v>
      </c>
      <c r="J1482" s="5" t="s">
        <v>102</v>
      </c>
    </row>
    <row r="1483" spans="1:10" ht="30">
      <c r="A1483" s="27" t="s">
        <v>1589</v>
      </c>
      <c r="B1483" s="3" t="s">
        <v>240</v>
      </c>
      <c r="C1483" s="22" t="s">
        <v>60</v>
      </c>
      <c r="D1483" s="22" t="s">
        <v>848</v>
      </c>
      <c r="E1483" s="3" t="s">
        <v>336</v>
      </c>
      <c r="F1483" s="6">
        <v>1</v>
      </c>
      <c r="G1483" s="3" t="s">
        <v>211</v>
      </c>
      <c r="H1483" s="5">
        <v>177000</v>
      </c>
      <c r="I1483" s="22" t="s">
        <v>681</v>
      </c>
      <c r="J1483" s="5" t="s">
        <v>102</v>
      </c>
    </row>
    <row r="1484" spans="1:10" ht="30">
      <c r="A1484" s="27" t="s">
        <v>1590</v>
      </c>
      <c r="B1484" s="3" t="s">
        <v>240</v>
      </c>
      <c r="C1484" s="22" t="s">
        <v>60</v>
      </c>
      <c r="D1484" s="22" t="s">
        <v>848</v>
      </c>
      <c r="E1484" s="3" t="s">
        <v>336</v>
      </c>
      <c r="F1484" s="6">
        <v>1</v>
      </c>
      <c r="G1484" s="3" t="s">
        <v>216</v>
      </c>
      <c r="H1484" s="5">
        <v>628000</v>
      </c>
      <c r="I1484" s="22" t="s">
        <v>681</v>
      </c>
      <c r="J1484" s="5" t="s">
        <v>102</v>
      </c>
    </row>
    <row r="1485" spans="1:10" ht="30">
      <c r="A1485" s="27" t="s">
        <v>1591</v>
      </c>
      <c r="B1485" s="3" t="s">
        <v>240</v>
      </c>
      <c r="C1485" s="22" t="s">
        <v>60</v>
      </c>
      <c r="D1485" s="22" t="s">
        <v>848</v>
      </c>
      <c r="E1485" s="3" t="s">
        <v>336</v>
      </c>
      <c r="F1485" s="6">
        <v>1</v>
      </c>
      <c r="G1485" s="3" t="s">
        <v>217</v>
      </c>
      <c r="H1485" s="5">
        <v>672000</v>
      </c>
      <c r="I1485" s="22" t="s">
        <v>681</v>
      </c>
      <c r="J1485" s="5" t="s">
        <v>102</v>
      </c>
    </row>
    <row r="1486" spans="1:10" ht="30">
      <c r="A1486" s="27" t="s">
        <v>1592</v>
      </c>
      <c r="B1486" s="3" t="s">
        <v>240</v>
      </c>
      <c r="C1486" s="22" t="s">
        <v>60</v>
      </c>
      <c r="D1486" s="22" t="s">
        <v>848</v>
      </c>
      <c r="E1486" s="3" t="s">
        <v>336</v>
      </c>
      <c r="F1486" s="6">
        <v>1</v>
      </c>
      <c r="G1486" s="3" t="s">
        <v>218</v>
      </c>
      <c r="H1486" s="5">
        <v>308000</v>
      </c>
      <c r="I1486" s="22" t="s">
        <v>681</v>
      </c>
      <c r="J1486" s="5" t="s">
        <v>102</v>
      </c>
    </row>
    <row r="1487" spans="1:10" ht="30">
      <c r="A1487" s="27" t="s">
        <v>1593</v>
      </c>
      <c r="B1487" s="3" t="s">
        <v>240</v>
      </c>
      <c r="C1487" s="22" t="s">
        <v>60</v>
      </c>
      <c r="D1487" s="22" t="s">
        <v>848</v>
      </c>
      <c r="E1487" s="3" t="s">
        <v>336</v>
      </c>
      <c r="F1487" s="6">
        <v>1</v>
      </c>
      <c r="G1487" s="3" t="s">
        <v>219</v>
      </c>
      <c r="H1487" s="5">
        <v>520000</v>
      </c>
      <c r="I1487" s="22" t="s">
        <v>681</v>
      </c>
      <c r="J1487" s="5" t="s">
        <v>102</v>
      </c>
    </row>
    <row r="1488" spans="1:10" ht="30">
      <c r="A1488" s="27" t="s">
        <v>1594</v>
      </c>
      <c r="B1488" s="3" t="s">
        <v>240</v>
      </c>
      <c r="C1488" s="22" t="s">
        <v>60</v>
      </c>
      <c r="D1488" s="22" t="s">
        <v>848</v>
      </c>
      <c r="E1488" s="3" t="s">
        <v>336</v>
      </c>
      <c r="F1488" s="6">
        <v>1</v>
      </c>
      <c r="G1488" s="22" t="s">
        <v>242</v>
      </c>
      <c r="H1488" s="5">
        <v>640000</v>
      </c>
      <c r="I1488" s="22" t="s">
        <v>681</v>
      </c>
      <c r="J1488" s="5" t="s">
        <v>102</v>
      </c>
    </row>
    <row r="1489" spans="1:10" ht="30">
      <c r="A1489" s="27" t="s">
        <v>1595</v>
      </c>
      <c r="B1489" s="3" t="s">
        <v>240</v>
      </c>
      <c r="C1489" s="22" t="s">
        <v>60</v>
      </c>
      <c r="D1489" s="22" t="s">
        <v>848</v>
      </c>
      <c r="E1489" s="3" t="s">
        <v>336</v>
      </c>
      <c r="F1489" s="6">
        <v>1</v>
      </c>
      <c r="G1489" s="3" t="s">
        <v>251</v>
      </c>
      <c r="H1489" s="5">
        <v>144000</v>
      </c>
      <c r="I1489" s="22" t="s">
        <v>681</v>
      </c>
      <c r="J1489" s="5" t="s">
        <v>102</v>
      </c>
    </row>
    <row r="1490" spans="1:10" ht="30">
      <c r="A1490" s="27" t="s">
        <v>1596</v>
      </c>
      <c r="B1490" s="3" t="s">
        <v>240</v>
      </c>
      <c r="C1490" s="22" t="s">
        <v>60</v>
      </c>
      <c r="D1490" s="22" t="s">
        <v>848</v>
      </c>
      <c r="E1490" s="3" t="s">
        <v>336</v>
      </c>
      <c r="F1490" s="6">
        <v>1</v>
      </c>
      <c r="G1490" s="3" t="s">
        <v>221</v>
      </c>
      <c r="H1490" s="5">
        <v>240000</v>
      </c>
      <c r="I1490" s="22" t="s">
        <v>681</v>
      </c>
      <c r="J1490" s="5" t="s">
        <v>102</v>
      </c>
    </row>
    <row r="1491" spans="1:10" ht="30">
      <c r="A1491" s="27" t="s">
        <v>1597</v>
      </c>
      <c r="B1491" s="3" t="s">
        <v>240</v>
      </c>
      <c r="C1491" s="22" t="s">
        <v>60</v>
      </c>
      <c r="D1491" s="22" t="s">
        <v>848</v>
      </c>
      <c r="E1491" s="3" t="s">
        <v>336</v>
      </c>
      <c r="F1491" s="6">
        <v>1</v>
      </c>
      <c r="G1491" s="3" t="s">
        <v>252</v>
      </c>
      <c r="H1491" s="5">
        <v>144000</v>
      </c>
      <c r="I1491" s="22" t="s">
        <v>681</v>
      </c>
      <c r="J1491" s="5" t="s">
        <v>102</v>
      </c>
    </row>
    <row r="1492" spans="1:10" ht="30">
      <c r="A1492" s="27" t="s">
        <v>1598</v>
      </c>
      <c r="B1492" s="3" t="s">
        <v>240</v>
      </c>
      <c r="C1492" s="22" t="s">
        <v>60</v>
      </c>
      <c r="D1492" s="22" t="s">
        <v>848</v>
      </c>
      <c r="E1492" s="3" t="s">
        <v>336</v>
      </c>
      <c r="F1492" s="6">
        <v>1</v>
      </c>
      <c r="G1492" s="3" t="s">
        <v>223</v>
      </c>
      <c r="H1492" s="5">
        <f>617000+44000+50000+38000+52023.26+100000</f>
        <v>901023.26</v>
      </c>
      <c r="I1492" s="22" t="s">
        <v>681</v>
      </c>
      <c r="J1492" s="5" t="s">
        <v>102</v>
      </c>
    </row>
    <row r="1493" spans="1:10" ht="30">
      <c r="A1493" s="27" t="s">
        <v>1599</v>
      </c>
      <c r="B1493" s="3" t="s">
        <v>240</v>
      </c>
      <c r="C1493" s="22" t="s">
        <v>60</v>
      </c>
      <c r="D1493" s="22" t="s">
        <v>848</v>
      </c>
      <c r="E1493" s="3" t="s">
        <v>336</v>
      </c>
      <c r="F1493" s="6">
        <v>1</v>
      </c>
      <c r="G1493" s="3" t="s">
        <v>253</v>
      </c>
      <c r="H1493" s="5">
        <v>268000</v>
      </c>
      <c r="I1493" s="22" t="s">
        <v>681</v>
      </c>
      <c r="J1493" s="5" t="s">
        <v>102</v>
      </c>
    </row>
    <row r="1494" spans="1:10" ht="30">
      <c r="A1494" s="27" t="s">
        <v>1600</v>
      </c>
      <c r="B1494" s="3" t="s">
        <v>240</v>
      </c>
      <c r="C1494" s="22" t="s">
        <v>60</v>
      </c>
      <c r="D1494" s="22" t="s">
        <v>848</v>
      </c>
      <c r="E1494" s="3" t="s">
        <v>336</v>
      </c>
      <c r="F1494" s="6">
        <v>1</v>
      </c>
      <c r="G1494" s="3" t="s">
        <v>225</v>
      </c>
      <c r="H1494" s="5">
        <v>632000</v>
      </c>
      <c r="I1494" s="22" t="s">
        <v>681</v>
      </c>
      <c r="J1494" s="5" t="s">
        <v>102</v>
      </c>
    </row>
    <row r="1495" spans="1:10" ht="30">
      <c r="A1495" s="27" t="s">
        <v>1601</v>
      </c>
      <c r="B1495" s="3" t="s">
        <v>240</v>
      </c>
      <c r="C1495" s="22" t="s">
        <v>60</v>
      </c>
      <c r="D1495" s="22" t="s">
        <v>848</v>
      </c>
      <c r="E1495" s="3" t="s">
        <v>336</v>
      </c>
      <c r="F1495" s="6">
        <v>1</v>
      </c>
      <c r="G1495" s="3" t="s">
        <v>226</v>
      </c>
      <c r="H1495" s="5">
        <v>340000</v>
      </c>
      <c r="I1495" s="22" t="s">
        <v>681</v>
      </c>
      <c r="J1495" s="5" t="s">
        <v>102</v>
      </c>
    </row>
    <row r="1496" spans="1:10" ht="30">
      <c r="A1496" s="27" t="s">
        <v>1602</v>
      </c>
      <c r="B1496" s="3" t="s">
        <v>240</v>
      </c>
      <c r="C1496" s="22" t="s">
        <v>60</v>
      </c>
      <c r="D1496" s="22" t="s">
        <v>848</v>
      </c>
      <c r="E1496" s="3" t="s">
        <v>336</v>
      </c>
      <c r="F1496" s="6">
        <v>1</v>
      </c>
      <c r="G1496" s="3" t="s">
        <v>244</v>
      </c>
      <c r="H1496" s="5">
        <f>560000+75000</f>
        <v>635000</v>
      </c>
      <c r="I1496" s="22" t="s">
        <v>681</v>
      </c>
      <c r="J1496" s="5" t="s">
        <v>102</v>
      </c>
    </row>
    <row r="1497" spans="1:10" ht="30">
      <c r="A1497" s="27" t="s">
        <v>1603</v>
      </c>
      <c r="B1497" s="3" t="s">
        <v>240</v>
      </c>
      <c r="C1497" s="22" t="s">
        <v>60</v>
      </c>
      <c r="D1497" s="22" t="s">
        <v>848</v>
      </c>
      <c r="E1497" s="3" t="s">
        <v>336</v>
      </c>
      <c r="F1497" s="6">
        <v>1</v>
      </c>
      <c r="G1497" s="22" t="s">
        <v>228</v>
      </c>
      <c r="H1497" s="5">
        <v>305000</v>
      </c>
      <c r="I1497" s="22" t="s">
        <v>681</v>
      </c>
      <c r="J1497" s="5" t="s">
        <v>102</v>
      </c>
    </row>
    <row r="1498" spans="1:10" ht="30">
      <c r="A1498" s="27" t="s">
        <v>1604</v>
      </c>
      <c r="B1498" s="3" t="s">
        <v>240</v>
      </c>
      <c r="C1498" s="22" t="s">
        <v>60</v>
      </c>
      <c r="D1498" s="22" t="s">
        <v>848</v>
      </c>
      <c r="E1498" s="3" t="s">
        <v>336</v>
      </c>
      <c r="F1498" s="6">
        <v>1</v>
      </c>
      <c r="G1498" s="22" t="s">
        <v>245</v>
      </c>
      <c r="H1498" s="5">
        <v>381000</v>
      </c>
      <c r="I1498" s="22" t="s">
        <v>681</v>
      </c>
      <c r="J1498" s="5" t="s">
        <v>102</v>
      </c>
    </row>
    <row r="1499" spans="1:10" ht="30">
      <c r="A1499" s="27" t="s">
        <v>1605</v>
      </c>
      <c r="B1499" s="3" t="s">
        <v>240</v>
      </c>
      <c r="C1499" s="22" t="s">
        <v>60</v>
      </c>
      <c r="D1499" s="22" t="s">
        <v>848</v>
      </c>
      <c r="E1499" s="3" t="s">
        <v>336</v>
      </c>
      <c r="F1499" s="6">
        <v>1</v>
      </c>
      <c r="G1499" s="3" t="s">
        <v>246</v>
      </c>
      <c r="H1499" s="5">
        <f>1360000+680000+150000</f>
        <v>2190000</v>
      </c>
      <c r="I1499" s="22" t="s">
        <v>681</v>
      </c>
      <c r="J1499" s="5" t="s">
        <v>102</v>
      </c>
    </row>
    <row r="1500" spans="1:10" ht="30">
      <c r="A1500" s="27" t="s">
        <v>1606</v>
      </c>
      <c r="B1500" s="3" t="s">
        <v>240</v>
      </c>
      <c r="C1500" s="22" t="s">
        <v>60</v>
      </c>
      <c r="D1500" s="22" t="s">
        <v>848</v>
      </c>
      <c r="E1500" s="3" t="s">
        <v>336</v>
      </c>
      <c r="F1500" s="6">
        <v>1</v>
      </c>
      <c r="G1500" s="3" t="s">
        <v>254</v>
      </c>
      <c r="H1500" s="5">
        <v>0</v>
      </c>
      <c r="I1500" s="22" t="s">
        <v>681</v>
      </c>
      <c r="J1500" s="5" t="s">
        <v>102</v>
      </c>
    </row>
    <row r="1501" spans="1:10" ht="30">
      <c r="A1501" s="27" t="s">
        <v>1607</v>
      </c>
      <c r="B1501" s="3" t="s">
        <v>240</v>
      </c>
      <c r="C1501" s="22" t="s">
        <v>60</v>
      </c>
      <c r="D1501" s="22" t="s">
        <v>848</v>
      </c>
      <c r="E1501" s="3" t="s">
        <v>336</v>
      </c>
      <c r="F1501" s="6">
        <v>1</v>
      </c>
      <c r="G1501" s="3" t="s">
        <v>248</v>
      </c>
      <c r="H1501" s="5">
        <f>460000+25000+50000</f>
        <v>535000</v>
      </c>
      <c r="I1501" s="22" t="s">
        <v>681</v>
      </c>
      <c r="J1501" s="5" t="s">
        <v>102</v>
      </c>
    </row>
    <row r="1502" spans="1:10" ht="30">
      <c r="A1502" s="27" t="s">
        <v>1608</v>
      </c>
      <c r="B1502" s="3" t="s">
        <v>240</v>
      </c>
      <c r="C1502" s="22" t="s">
        <v>60</v>
      </c>
      <c r="D1502" s="22" t="s">
        <v>848</v>
      </c>
      <c r="E1502" s="3" t="s">
        <v>336</v>
      </c>
      <c r="F1502" s="6">
        <v>1</v>
      </c>
      <c r="G1502" s="3" t="s">
        <v>233</v>
      </c>
      <c r="H1502" s="5">
        <v>408000</v>
      </c>
      <c r="I1502" s="22" t="s">
        <v>681</v>
      </c>
      <c r="J1502" s="5" t="s">
        <v>102</v>
      </c>
    </row>
    <row r="1503" spans="1:10" ht="30">
      <c r="A1503" s="27" t="s">
        <v>1609</v>
      </c>
      <c r="B1503" s="22" t="s">
        <v>240</v>
      </c>
      <c r="C1503" s="22" t="s">
        <v>60</v>
      </c>
      <c r="D1503" s="22" t="s">
        <v>849</v>
      </c>
      <c r="E1503" s="22" t="s">
        <v>336</v>
      </c>
      <c r="F1503" s="6">
        <v>1</v>
      </c>
      <c r="G1503" s="22" t="s">
        <v>211</v>
      </c>
      <c r="H1503" s="5">
        <v>320000</v>
      </c>
      <c r="I1503" s="22" t="s">
        <v>681</v>
      </c>
      <c r="J1503" s="5" t="s">
        <v>102</v>
      </c>
    </row>
    <row r="1504" spans="1:10" ht="30">
      <c r="A1504" s="27" t="s">
        <v>1610</v>
      </c>
      <c r="B1504" s="22" t="s">
        <v>240</v>
      </c>
      <c r="C1504" s="22" t="s">
        <v>60</v>
      </c>
      <c r="D1504" s="22" t="s">
        <v>849</v>
      </c>
      <c r="E1504" s="22" t="s">
        <v>336</v>
      </c>
      <c r="F1504" s="6">
        <v>1</v>
      </c>
      <c r="G1504" s="22" t="s">
        <v>217</v>
      </c>
      <c r="H1504" s="5">
        <v>320000</v>
      </c>
      <c r="I1504" s="22" t="s">
        <v>681</v>
      </c>
      <c r="J1504" s="5" t="s">
        <v>102</v>
      </c>
    </row>
    <row r="1505" spans="1:10" ht="30">
      <c r="A1505" s="27" t="s">
        <v>1611</v>
      </c>
      <c r="B1505" s="22" t="s">
        <v>240</v>
      </c>
      <c r="C1505" s="22" t="s">
        <v>60</v>
      </c>
      <c r="D1505" s="22" t="s">
        <v>849</v>
      </c>
      <c r="E1505" s="22" t="s">
        <v>336</v>
      </c>
      <c r="F1505" s="6">
        <v>1</v>
      </c>
      <c r="G1505" s="22" t="s">
        <v>218</v>
      </c>
      <c r="H1505" s="5">
        <v>320000</v>
      </c>
      <c r="I1505" s="22" t="s">
        <v>681</v>
      </c>
      <c r="J1505" s="5" t="s">
        <v>102</v>
      </c>
    </row>
    <row r="1506" spans="1:10" ht="30">
      <c r="A1506" s="27" t="s">
        <v>1612</v>
      </c>
      <c r="B1506" s="22" t="s">
        <v>240</v>
      </c>
      <c r="C1506" s="22" t="s">
        <v>60</v>
      </c>
      <c r="D1506" s="22" t="s">
        <v>849</v>
      </c>
      <c r="E1506" s="22" t="s">
        <v>336</v>
      </c>
      <c r="F1506" s="6">
        <v>1</v>
      </c>
      <c r="G1506" s="22" t="s">
        <v>219</v>
      </c>
      <c r="H1506" s="5">
        <v>320000</v>
      </c>
      <c r="I1506" s="22" t="s">
        <v>681</v>
      </c>
      <c r="J1506" s="5" t="s">
        <v>102</v>
      </c>
    </row>
    <row r="1507" spans="1:10" ht="30">
      <c r="A1507" s="27" t="s">
        <v>1613</v>
      </c>
      <c r="B1507" s="22" t="s">
        <v>240</v>
      </c>
      <c r="C1507" s="22" t="s">
        <v>60</v>
      </c>
      <c r="D1507" s="22" t="s">
        <v>849</v>
      </c>
      <c r="E1507" s="22" t="s">
        <v>336</v>
      </c>
      <c r="F1507" s="6">
        <v>1</v>
      </c>
      <c r="G1507" s="22" t="s">
        <v>242</v>
      </c>
      <c r="H1507" s="5">
        <v>320000</v>
      </c>
      <c r="I1507" s="22" t="s">
        <v>681</v>
      </c>
      <c r="J1507" s="5" t="s">
        <v>102</v>
      </c>
    </row>
    <row r="1508" spans="1:10" ht="30">
      <c r="A1508" s="27" t="s">
        <v>1614</v>
      </c>
      <c r="B1508" s="22" t="s">
        <v>240</v>
      </c>
      <c r="C1508" s="22" t="s">
        <v>60</v>
      </c>
      <c r="D1508" s="22" t="s">
        <v>849</v>
      </c>
      <c r="E1508" s="22" t="s">
        <v>336</v>
      </c>
      <c r="F1508" s="6">
        <v>1</v>
      </c>
      <c r="G1508" s="22" t="s">
        <v>221</v>
      </c>
      <c r="H1508" s="5">
        <v>320000</v>
      </c>
      <c r="I1508" s="22" t="s">
        <v>681</v>
      </c>
      <c r="J1508" s="5" t="s">
        <v>102</v>
      </c>
    </row>
    <row r="1509" spans="1:10" ht="30">
      <c r="A1509" s="27" t="s">
        <v>1615</v>
      </c>
      <c r="B1509" s="22" t="s">
        <v>240</v>
      </c>
      <c r="C1509" s="22" t="s">
        <v>60</v>
      </c>
      <c r="D1509" s="22" t="s">
        <v>849</v>
      </c>
      <c r="E1509" s="22" t="s">
        <v>336</v>
      </c>
      <c r="F1509" s="6">
        <v>1</v>
      </c>
      <c r="G1509" s="22" t="s">
        <v>223</v>
      </c>
      <c r="H1509" s="5">
        <v>320000</v>
      </c>
      <c r="I1509" s="22" t="s">
        <v>681</v>
      </c>
      <c r="J1509" s="5" t="s">
        <v>102</v>
      </c>
    </row>
    <row r="1510" spans="1:10" ht="30">
      <c r="A1510" s="27" t="s">
        <v>1616</v>
      </c>
      <c r="B1510" s="22" t="s">
        <v>240</v>
      </c>
      <c r="C1510" s="22" t="s">
        <v>60</v>
      </c>
      <c r="D1510" s="22" t="s">
        <v>849</v>
      </c>
      <c r="E1510" s="22" t="s">
        <v>336</v>
      </c>
      <c r="F1510" s="6">
        <v>1</v>
      </c>
      <c r="G1510" s="22" t="s">
        <v>225</v>
      </c>
      <c r="H1510" s="5">
        <v>320000</v>
      </c>
      <c r="I1510" s="22" t="s">
        <v>681</v>
      </c>
      <c r="J1510" s="5" t="s">
        <v>102</v>
      </c>
    </row>
    <row r="1511" spans="1:10" ht="30">
      <c r="A1511" s="27" t="s">
        <v>1617</v>
      </c>
      <c r="B1511" s="22" t="s">
        <v>240</v>
      </c>
      <c r="C1511" s="22" t="s">
        <v>60</v>
      </c>
      <c r="D1511" s="22" t="s">
        <v>849</v>
      </c>
      <c r="E1511" s="22" t="s">
        <v>336</v>
      </c>
      <c r="F1511" s="6">
        <v>1</v>
      </c>
      <c r="G1511" s="3" t="s">
        <v>245</v>
      </c>
      <c r="H1511" s="5">
        <v>320000</v>
      </c>
      <c r="I1511" s="22" t="s">
        <v>681</v>
      </c>
      <c r="J1511" s="5" t="s">
        <v>102</v>
      </c>
    </row>
    <row r="1512" spans="1:10" ht="30">
      <c r="A1512" s="27" t="s">
        <v>1618</v>
      </c>
      <c r="B1512" s="3" t="s">
        <v>240</v>
      </c>
      <c r="C1512" s="22" t="s">
        <v>60</v>
      </c>
      <c r="D1512" s="22" t="s">
        <v>849</v>
      </c>
      <c r="E1512" s="22" t="s">
        <v>336</v>
      </c>
      <c r="F1512" s="6">
        <v>1</v>
      </c>
      <c r="G1512" s="3" t="s">
        <v>248</v>
      </c>
      <c r="H1512" s="5">
        <v>320000</v>
      </c>
      <c r="I1512" s="22" t="s">
        <v>681</v>
      </c>
      <c r="J1512" s="5" t="s">
        <v>102</v>
      </c>
    </row>
    <row r="1513" spans="1:10" ht="30">
      <c r="A1513" s="27" t="s">
        <v>1619</v>
      </c>
      <c r="B1513" s="3" t="s">
        <v>240</v>
      </c>
      <c r="C1513" s="22" t="s">
        <v>60</v>
      </c>
      <c r="D1513" s="22" t="s">
        <v>850</v>
      </c>
      <c r="E1513" s="3" t="s">
        <v>336</v>
      </c>
      <c r="F1513" s="6">
        <v>1</v>
      </c>
      <c r="G1513" s="3" t="s">
        <v>226</v>
      </c>
      <c r="H1513" s="5">
        <v>265000</v>
      </c>
      <c r="I1513" s="22" t="s">
        <v>681</v>
      </c>
      <c r="J1513" s="5" t="s">
        <v>102</v>
      </c>
    </row>
    <row r="1514" spans="1:10" ht="30">
      <c r="A1514" s="27" t="s">
        <v>1620</v>
      </c>
      <c r="B1514" s="3" t="s">
        <v>240</v>
      </c>
      <c r="C1514" s="22" t="s">
        <v>60</v>
      </c>
      <c r="D1514" s="22" t="s">
        <v>850</v>
      </c>
      <c r="E1514" s="3" t="s">
        <v>336</v>
      </c>
      <c r="F1514" s="6">
        <v>1</v>
      </c>
      <c r="G1514" s="3" t="s">
        <v>228</v>
      </c>
      <c r="H1514" s="5">
        <v>400000</v>
      </c>
      <c r="I1514" s="22" t="s">
        <v>681</v>
      </c>
      <c r="J1514" s="5" t="s">
        <v>102</v>
      </c>
    </row>
    <row r="1515" spans="1:10" ht="30">
      <c r="A1515" s="27" t="s">
        <v>1621</v>
      </c>
      <c r="B1515" s="3" t="s">
        <v>240</v>
      </c>
      <c r="C1515" s="22" t="s">
        <v>60</v>
      </c>
      <c r="D1515" s="22" t="s">
        <v>850</v>
      </c>
      <c r="E1515" s="3" t="s">
        <v>336</v>
      </c>
      <c r="F1515" s="6">
        <v>1</v>
      </c>
      <c r="G1515" s="3" t="s">
        <v>233</v>
      </c>
      <c r="H1515" s="5">
        <v>320000</v>
      </c>
      <c r="I1515" s="22" t="s">
        <v>681</v>
      </c>
      <c r="J1515" s="5" t="s">
        <v>102</v>
      </c>
    </row>
    <row r="1516" spans="1:10" ht="45">
      <c r="A1516" s="27" t="s">
        <v>1622</v>
      </c>
      <c r="B1516" s="3" t="s">
        <v>234</v>
      </c>
      <c r="C1516" s="22" t="s">
        <v>60</v>
      </c>
      <c r="D1516" s="3" t="s">
        <v>249</v>
      </c>
      <c r="E1516" s="3" t="s">
        <v>336</v>
      </c>
      <c r="F1516" s="6">
        <v>1</v>
      </c>
      <c r="G1516" s="3" t="s">
        <v>211</v>
      </c>
      <c r="H1516" s="5">
        <v>144000</v>
      </c>
      <c r="I1516" s="22" t="s">
        <v>681</v>
      </c>
      <c r="J1516" s="5" t="s">
        <v>102</v>
      </c>
    </row>
    <row r="1517" spans="1:10" ht="45">
      <c r="A1517" s="27" t="s">
        <v>1623</v>
      </c>
      <c r="B1517" s="3" t="s">
        <v>234</v>
      </c>
      <c r="C1517" s="22" t="s">
        <v>60</v>
      </c>
      <c r="D1517" s="3" t="s">
        <v>249</v>
      </c>
      <c r="E1517" s="3" t="s">
        <v>336</v>
      </c>
      <c r="F1517" s="6">
        <v>1</v>
      </c>
      <c r="G1517" s="3" t="s">
        <v>216</v>
      </c>
      <c r="H1517" s="5">
        <v>108000</v>
      </c>
      <c r="I1517" s="22" t="s">
        <v>681</v>
      </c>
      <c r="J1517" s="5" t="s">
        <v>102</v>
      </c>
    </row>
    <row r="1518" spans="1:10" ht="45">
      <c r="A1518" s="27" t="s">
        <v>1624</v>
      </c>
      <c r="B1518" s="3" t="s">
        <v>234</v>
      </c>
      <c r="C1518" s="22" t="s">
        <v>60</v>
      </c>
      <c r="D1518" s="3" t="s">
        <v>249</v>
      </c>
      <c r="E1518" s="3" t="s">
        <v>336</v>
      </c>
      <c r="F1518" s="6">
        <v>1</v>
      </c>
      <c r="G1518" s="3" t="s">
        <v>217</v>
      </c>
      <c r="H1518" s="5">
        <v>144000</v>
      </c>
      <c r="I1518" s="22" t="s">
        <v>681</v>
      </c>
      <c r="J1518" s="5" t="s">
        <v>102</v>
      </c>
    </row>
    <row r="1519" spans="1:10" ht="45">
      <c r="A1519" s="27" t="s">
        <v>1625</v>
      </c>
      <c r="B1519" s="3" t="s">
        <v>234</v>
      </c>
      <c r="C1519" s="22" t="s">
        <v>60</v>
      </c>
      <c r="D1519" s="3" t="s">
        <v>249</v>
      </c>
      <c r="E1519" s="3" t="s">
        <v>336</v>
      </c>
      <c r="F1519" s="6">
        <v>1</v>
      </c>
      <c r="G1519" s="3" t="s">
        <v>218</v>
      </c>
      <c r="H1519" s="5">
        <v>144000</v>
      </c>
      <c r="I1519" s="22" t="s">
        <v>681</v>
      </c>
      <c r="J1519" s="5" t="s">
        <v>102</v>
      </c>
    </row>
    <row r="1520" spans="1:10" ht="45">
      <c r="A1520" s="27" t="s">
        <v>1626</v>
      </c>
      <c r="B1520" s="3" t="s">
        <v>234</v>
      </c>
      <c r="C1520" s="22" t="s">
        <v>60</v>
      </c>
      <c r="D1520" s="3" t="s">
        <v>249</v>
      </c>
      <c r="E1520" s="3" t="s">
        <v>336</v>
      </c>
      <c r="F1520" s="6">
        <v>1</v>
      </c>
      <c r="G1520" s="3" t="s">
        <v>219</v>
      </c>
      <c r="H1520" s="5">
        <v>144000</v>
      </c>
      <c r="I1520" s="22" t="s">
        <v>681</v>
      </c>
      <c r="J1520" s="5" t="s">
        <v>102</v>
      </c>
    </row>
    <row r="1521" spans="1:10" ht="45">
      <c r="A1521" s="27" t="s">
        <v>1627</v>
      </c>
      <c r="B1521" s="3" t="s">
        <v>234</v>
      </c>
      <c r="C1521" s="22" t="s">
        <v>60</v>
      </c>
      <c r="D1521" s="3" t="s">
        <v>249</v>
      </c>
      <c r="E1521" s="3" t="s">
        <v>336</v>
      </c>
      <c r="F1521" s="6">
        <v>1</v>
      </c>
      <c r="G1521" s="3" t="s">
        <v>242</v>
      </c>
      <c r="H1521" s="5">
        <v>144000</v>
      </c>
      <c r="I1521" s="22" t="s">
        <v>681</v>
      </c>
      <c r="J1521" s="5" t="s">
        <v>102</v>
      </c>
    </row>
    <row r="1522" spans="1:10" ht="45">
      <c r="A1522" s="27" t="s">
        <v>1628</v>
      </c>
      <c r="B1522" s="3" t="s">
        <v>234</v>
      </c>
      <c r="C1522" s="22" t="s">
        <v>60</v>
      </c>
      <c r="D1522" s="3" t="s">
        <v>249</v>
      </c>
      <c r="E1522" s="3" t="s">
        <v>336</v>
      </c>
      <c r="F1522" s="6">
        <v>1</v>
      </c>
      <c r="G1522" s="3" t="s">
        <v>243</v>
      </c>
      <c r="H1522" s="5">
        <v>72000</v>
      </c>
      <c r="I1522" s="22" t="s">
        <v>681</v>
      </c>
      <c r="J1522" s="5" t="s">
        <v>102</v>
      </c>
    </row>
    <row r="1523" spans="1:10" ht="45">
      <c r="A1523" s="27" t="s">
        <v>1629</v>
      </c>
      <c r="B1523" s="3" t="s">
        <v>234</v>
      </c>
      <c r="C1523" s="22" t="s">
        <v>60</v>
      </c>
      <c r="D1523" s="3" t="s">
        <v>249</v>
      </c>
      <c r="E1523" s="3" t="s">
        <v>336</v>
      </c>
      <c r="F1523" s="6">
        <v>1</v>
      </c>
      <c r="G1523" s="3" t="s">
        <v>221</v>
      </c>
      <c r="H1523" s="5">
        <v>144000</v>
      </c>
      <c r="I1523" s="22" t="s">
        <v>681</v>
      </c>
      <c r="J1523" s="5" t="s">
        <v>102</v>
      </c>
    </row>
    <row r="1524" spans="1:10" ht="60">
      <c r="A1524" s="27" t="s">
        <v>1630</v>
      </c>
      <c r="B1524" s="3" t="s">
        <v>234</v>
      </c>
      <c r="C1524" s="22" t="s">
        <v>60</v>
      </c>
      <c r="D1524" s="3" t="s">
        <v>249</v>
      </c>
      <c r="E1524" s="3" t="s">
        <v>336</v>
      </c>
      <c r="F1524" s="6">
        <v>1</v>
      </c>
      <c r="G1524" s="3" t="s">
        <v>222</v>
      </c>
      <c r="H1524" s="5">
        <v>72000</v>
      </c>
      <c r="I1524" s="22" t="s">
        <v>681</v>
      </c>
      <c r="J1524" s="5" t="s">
        <v>102</v>
      </c>
    </row>
    <row r="1525" spans="1:10" ht="45">
      <c r="A1525" s="27" t="s">
        <v>1631</v>
      </c>
      <c r="B1525" s="3" t="s">
        <v>234</v>
      </c>
      <c r="C1525" s="22" t="s">
        <v>60</v>
      </c>
      <c r="D1525" s="3" t="s">
        <v>249</v>
      </c>
      <c r="E1525" s="3" t="s">
        <v>336</v>
      </c>
      <c r="F1525" s="6">
        <v>1</v>
      </c>
      <c r="G1525" s="3" t="s">
        <v>223</v>
      </c>
      <c r="H1525" s="5">
        <v>144000</v>
      </c>
      <c r="I1525" s="22" t="s">
        <v>681</v>
      </c>
      <c r="J1525" s="5" t="s">
        <v>102</v>
      </c>
    </row>
    <row r="1526" spans="1:10" ht="60">
      <c r="A1526" s="27" t="s">
        <v>1632</v>
      </c>
      <c r="B1526" s="3" t="s">
        <v>234</v>
      </c>
      <c r="C1526" s="22" t="s">
        <v>60</v>
      </c>
      <c r="D1526" s="3" t="s">
        <v>249</v>
      </c>
      <c r="E1526" s="3" t="s">
        <v>336</v>
      </c>
      <c r="F1526" s="6">
        <v>1</v>
      </c>
      <c r="G1526" s="3" t="s">
        <v>224</v>
      </c>
      <c r="H1526" s="5">
        <v>36000</v>
      </c>
      <c r="I1526" s="22" t="s">
        <v>681</v>
      </c>
      <c r="J1526" s="5" t="s">
        <v>102</v>
      </c>
    </row>
    <row r="1527" spans="1:10" ht="45">
      <c r="A1527" s="27" t="s">
        <v>1633</v>
      </c>
      <c r="B1527" s="3" t="s">
        <v>234</v>
      </c>
      <c r="C1527" s="22" t="s">
        <v>60</v>
      </c>
      <c r="D1527" s="3" t="s">
        <v>249</v>
      </c>
      <c r="E1527" s="3" t="s">
        <v>336</v>
      </c>
      <c r="F1527" s="6">
        <v>1</v>
      </c>
      <c r="G1527" s="3" t="s">
        <v>225</v>
      </c>
      <c r="H1527" s="5">
        <v>144000</v>
      </c>
      <c r="I1527" s="22" t="s">
        <v>681</v>
      </c>
      <c r="J1527" s="5" t="s">
        <v>102</v>
      </c>
    </row>
    <row r="1528" spans="1:10" ht="45">
      <c r="A1528" s="27" t="s">
        <v>1634</v>
      </c>
      <c r="B1528" s="3" t="s">
        <v>234</v>
      </c>
      <c r="C1528" s="22" t="s">
        <v>60</v>
      </c>
      <c r="D1528" s="3" t="s">
        <v>249</v>
      </c>
      <c r="E1528" s="3" t="s">
        <v>336</v>
      </c>
      <c r="F1528" s="6">
        <v>1</v>
      </c>
      <c r="G1528" s="3" t="s">
        <v>226</v>
      </c>
      <c r="H1528" s="5">
        <v>144000</v>
      </c>
      <c r="I1528" s="22" t="s">
        <v>681</v>
      </c>
      <c r="J1528" s="5" t="s">
        <v>102</v>
      </c>
    </row>
    <row r="1529" spans="1:10" ht="45">
      <c r="A1529" s="27" t="s">
        <v>1635</v>
      </c>
      <c r="B1529" s="3" t="s">
        <v>234</v>
      </c>
      <c r="C1529" s="22" t="s">
        <v>60</v>
      </c>
      <c r="D1529" s="3" t="s">
        <v>249</v>
      </c>
      <c r="E1529" s="3" t="s">
        <v>336</v>
      </c>
      <c r="F1529" s="6">
        <v>1</v>
      </c>
      <c r="G1529" s="3" t="s">
        <v>244</v>
      </c>
      <c r="H1529" s="5">
        <v>108000</v>
      </c>
      <c r="I1529" s="22" t="s">
        <v>681</v>
      </c>
      <c r="J1529" s="5" t="s">
        <v>102</v>
      </c>
    </row>
    <row r="1530" spans="1:10" ht="45">
      <c r="A1530" s="27" t="s">
        <v>1636</v>
      </c>
      <c r="B1530" s="3" t="s">
        <v>234</v>
      </c>
      <c r="C1530" s="22" t="s">
        <v>60</v>
      </c>
      <c r="D1530" s="3" t="s">
        <v>249</v>
      </c>
      <c r="E1530" s="3" t="s">
        <v>336</v>
      </c>
      <c r="F1530" s="6">
        <v>1</v>
      </c>
      <c r="G1530" s="3" t="s">
        <v>228</v>
      </c>
      <c r="H1530" s="5">
        <v>108000</v>
      </c>
      <c r="I1530" s="22" t="s">
        <v>681</v>
      </c>
      <c r="J1530" s="5" t="s">
        <v>102</v>
      </c>
    </row>
    <row r="1531" spans="1:10" ht="45">
      <c r="A1531" s="27" t="s">
        <v>1637</v>
      </c>
      <c r="B1531" s="3" t="s">
        <v>234</v>
      </c>
      <c r="C1531" s="22" t="s">
        <v>60</v>
      </c>
      <c r="D1531" s="3" t="s">
        <v>249</v>
      </c>
      <c r="E1531" s="3" t="s">
        <v>336</v>
      </c>
      <c r="F1531" s="6">
        <v>1</v>
      </c>
      <c r="G1531" s="3" t="s">
        <v>245</v>
      </c>
      <c r="H1531" s="5">
        <v>144000</v>
      </c>
      <c r="I1531" s="22" t="s">
        <v>681</v>
      </c>
      <c r="J1531" s="5" t="s">
        <v>102</v>
      </c>
    </row>
    <row r="1532" spans="1:10" ht="45">
      <c r="A1532" s="27" t="s">
        <v>1638</v>
      </c>
      <c r="B1532" s="3" t="s">
        <v>234</v>
      </c>
      <c r="C1532" s="22" t="s">
        <v>60</v>
      </c>
      <c r="D1532" s="3" t="s">
        <v>249</v>
      </c>
      <c r="E1532" s="3" t="s">
        <v>336</v>
      </c>
      <c r="F1532" s="6">
        <v>1</v>
      </c>
      <c r="G1532" s="3" t="s">
        <v>246</v>
      </c>
      <c r="H1532" s="5">
        <v>108000</v>
      </c>
      <c r="I1532" s="22" t="s">
        <v>681</v>
      </c>
      <c r="J1532" s="5" t="s">
        <v>102</v>
      </c>
    </row>
    <row r="1533" spans="1:10" ht="45">
      <c r="A1533" s="27" t="s">
        <v>1639</v>
      </c>
      <c r="B1533" s="3" t="s">
        <v>234</v>
      </c>
      <c r="C1533" s="22" t="s">
        <v>60</v>
      </c>
      <c r="D1533" s="3" t="s">
        <v>249</v>
      </c>
      <c r="E1533" s="3" t="s">
        <v>336</v>
      </c>
      <c r="F1533" s="6">
        <v>1</v>
      </c>
      <c r="G1533" s="3" t="s">
        <v>247</v>
      </c>
      <c r="H1533" s="5">
        <v>36000</v>
      </c>
      <c r="I1533" s="22" t="s">
        <v>681</v>
      </c>
      <c r="J1533" s="5" t="s">
        <v>102</v>
      </c>
    </row>
    <row r="1534" spans="1:10" ht="45">
      <c r="A1534" s="27" t="s">
        <v>1640</v>
      </c>
      <c r="B1534" s="3" t="s">
        <v>234</v>
      </c>
      <c r="C1534" s="22" t="s">
        <v>60</v>
      </c>
      <c r="D1534" s="3" t="s">
        <v>249</v>
      </c>
      <c r="E1534" s="3" t="s">
        <v>336</v>
      </c>
      <c r="F1534" s="6">
        <v>1</v>
      </c>
      <c r="G1534" s="3" t="s">
        <v>248</v>
      </c>
      <c r="H1534" s="5">
        <v>144000</v>
      </c>
      <c r="I1534" s="22" t="s">
        <v>681</v>
      </c>
      <c r="J1534" s="5" t="s">
        <v>102</v>
      </c>
    </row>
    <row r="1535" spans="1:10" ht="45">
      <c r="A1535" s="27" t="s">
        <v>1641</v>
      </c>
      <c r="B1535" s="3" t="s">
        <v>234</v>
      </c>
      <c r="C1535" s="22" t="s">
        <v>60</v>
      </c>
      <c r="D1535" s="3" t="s">
        <v>249</v>
      </c>
      <c r="E1535" s="3" t="s">
        <v>336</v>
      </c>
      <c r="F1535" s="6">
        <v>1</v>
      </c>
      <c r="G1535" s="3" t="s">
        <v>233</v>
      </c>
      <c r="H1535" s="5">
        <v>144000</v>
      </c>
      <c r="I1535" s="22" t="s">
        <v>681</v>
      </c>
      <c r="J1535" s="5" t="s">
        <v>102</v>
      </c>
    </row>
    <row r="1536" spans="1:10" ht="30">
      <c r="A1536" s="27" t="s">
        <v>1642</v>
      </c>
      <c r="B1536" s="3" t="s">
        <v>250</v>
      </c>
      <c r="C1536" s="22" t="s">
        <v>60</v>
      </c>
      <c r="D1536" s="3" t="s">
        <v>238</v>
      </c>
      <c r="E1536" s="3" t="s">
        <v>336</v>
      </c>
      <c r="F1536" s="6">
        <v>1</v>
      </c>
      <c r="G1536" s="3" t="s">
        <v>211</v>
      </c>
      <c r="H1536" s="5">
        <v>23000</v>
      </c>
      <c r="I1536" s="22" t="s">
        <v>681</v>
      </c>
      <c r="J1536" s="5" t="s">
        <v>102</v>
      </c>
    </row>
    <row r="1537" spans="1:10" ht="30">
      <c r="A1537" s="27" t="s">
        <v>1643</v>
      </c>
      <c r="B1537" s="3" t="s">
        <v>250</v>
      </c>
      <c r="C1537" s="22" t="s">
        <v>60</v>
      </c>
      <c r="D1537" s="3" t="s">
        <v>238</v>
      </c>
      <c r="E1537" s="3" t="s">
        <v>336</v>
      </c>
      <c r="F1537" s="6">
        <v>1</v>
      </c>
      <c r="G1537" s="3" t="s">
        <v>216</v>
      </c>
      <c r="H1537" s="5">
        <v>15000</v>
      </c>
      <c r="I1537" s="22" t="s">
        <v>681</v>
      </c>
      <c r="J1537" s="5" t="s">
        <v>102</v>
      </c>
    </row>
    <row r="1538" spans="1:10" ht="30">
      <c r="A1538" s="27" t="s">
        <v>1644</v>
      </c>
      <c r="B1538" s="3" t="s">
        <v>250</v>
      </c>
      <c r="C1538" s="22" t="s">
        <v>60</v>
      </c>
      <c r="D1538" s="3" t="s">
        <v>238</v>
      </c>
      <c r="E1538" s="3" t="s">
        <v>336</v>
      </c>
      <c r="F1538" s="6">
        <v>1</v>
      </c>
      <c r="G1538" s="3" t="s">
        <v>217</v>
      </c>
      <c r="H1538" s="5">
        <v>21000</v>
      </c>
      <c r="I1538" s="22" t="s">
        <v>681</v>
      </c>
      <c r="J1538" s="5" t="s">
        <v>102</v>
      </c>
    </row>
    <row r="1539" spans="1:10" ht="30">
      <c r="A1539" s="27" t="s">
        <v>1645</v>
      </c>
      <c r="B1539" s="3" t="s">
        <v>250</v>
      </c>
      <c r="C1539" s="22" t="s">
        <v>60</v>
      </c>
      <c r="D1539" s="3" t="s">
        <v>238</v>
      </c>
      <c r="E1539" s="3" t="s">
        <v>336</v>
      </c>
      <c r="F1539" s="6">
        <v>1</v>
      </c>
      <c r="G1539" s="3" t="s">
        <v>218</v>
      </c>
      <c r="H1539" s="5">
        <v>21000</v>
      </c>
      <c r="I1539" s="22" t="s">
        <v>681</v>
      </c>
      <c r="J1539" s="5" t="s">
        <v>102</v>
      </c>
    </row>
    <row r="1540" spans="1:10" ht="30">
      <c r="A1540" s="27" t="s">
        <v>1646</v>
      </c>
      <c r="B1540" s="3" t="s">
        <v>250</v>
      </c>
      <c r="C1540" s="22" t="s">
        <v>60</v>
      </c>
      <c r="D1540" s="3" t="s">
        <v>238</v>
      </c>
      <c r="E1540" s="3" t="s">
        <v>336</v>
      </c>
      <c r="F1540" s="6">
        <v>1</v>
      </c>
      <c r="G1540" s="3" t="s">
        <v>219</v>
      </c>
      <c r="H1540" s="5">
        <v>45000</v>
      </c>
      <c r="I1540" s="22" t="s">
        <v>681</v>
      </c>
      <c r="J1540" s="5" t="s">
        <v>102</v>
      </c>
    </row>
    <row r="1541" spans="1:10" ht="30">
      <c r="A1541" s="27" t="s">
        <v>1647</v>
      </c>
      <c r="B1541" s="3" t="s">
        <v>250</v>
      </c>
      <c r="C1541" s="22" t="s">
        <v>60</v>
      </c>
      <c r="D1541" s="3" t="s">
        <v>238</v>
      </c>
      <c r="E1541" s="3" t="s">
        <v>336</v>
      </c>
      <c r="F1541" s="6">
        <v>1</v>
      </c>
      <c r="G1541" s="3" t="s">
        <v>242</v>
      </c>
      <c r="H1541" s="5">
        <v>21000</v>
      </c>
      <c r="I1541" s="22" t="s">
        <v>681</v>
      </c>
      <c r="J1541" s="5" t="s">
        <v>102</v>
      </c>
    </row>
    <row r="1542" spans="1:10" ht="45">
      <c r="A1542" s="27" t="s">
        <v>1648</v>
      </c>
      <c r="B1542" s="3" t="s">
        <v>250</v>
      </c>
      <c r="C1542" s="22" t="s">
        <v>60</v>
      </c>
      <c r="D1542" s="3" t="s">
        <v>238</v>
      </c>
      <c r="E1542" s="3" t="s">
        <v>336</v>
      </c>
      <c r="F1542" s="6">
        <v>1</v>
      </c>
      <c r="G1542" s="3" t="s">
        <v>243</v>
      </c>
      <c r="H1542" s="5">
        <v>6000</v>
      </c>
      <c r="I1542" s="22" t="s">
        <v>681</v>
      </c>
      <c r="J1542" s="5" t="s">
        <v>102</v>
      </c>
    </row>
    <row r="1543" spans="1:10" ht="30">
      <c r="A1543" s="27" t="s">
        <v>1649</v>
      </c>
      <c r="B1543" s="3" t="s">
        <v>250</v>
      </c>
      <c r="C1543" s="22" t="s">
        <v>60</v>
      </c>
      <c r="D1543" s="3" t="s">
        <v>238</v>
      </c>
      <c r="E1543" s="3" t="s">
        <v>336</v>
      </c>
      <c r="F1543" s="6">
        <v>1</v>
      </c>
      <c r="G1543" s="3" t="s">
        <v>221</v>
      </c>
      <c r="H1543" s="5">
        <v>15000</v>
      </c>
      <c r="I1543" s="22" t="s">
        <v>681</v>
      </c>
      <c r="J1543" s="5" t="s">
        <v>102</v>
      </c>
    </row>
    <row r="1544" spans="1:10" ht="60">
      <c r="A1544" s="27" t="s">
        <v>1650</v>
      </c>
      <c r="B1544" s="3" t="s">
        <v>250</v>
      </c>
      <c r="C1544" s="22" t="s">
        <v>60</v>
      </c>
      <c r="D1544" s="3" t="s">
        <v>238</v>
      </c>
      <c r="E1544" s="3" t="s">
        <v>336</v>
      </c>
      <c r="F1544" s="6">
        <v>1</v>
      </c>
      <c r="G1544" s="3" t="s">
        <v>222</v>
      </c>
      <c r="H1544" s="5">
        <v>7000</v>
      </c>
      <c r="I1544" s="22" t="s">
        <v>681</v>
      </c>
      <c r="J1544" s="5" t="s">
        <v>102</v>
      </c>
    </row>
    <row r="1545" spans="1:10" ht="30">
      <c r="A1545" s="27" t="s">
        <v>1651</v>
      </c>
      <c r="B1545" s="3" t="s">
        <v>250</v>
      </c>
      <c r="C1545" s="22" t="s">
        <v>60</v>
      </c>
      <c r="D1545" s="3" t="s">
        <v>238</v>
      </c>
      <c r="E1545" s="3" t="s">
        <v>336</v>
      </c>
      <c r="F1545" s="6">
        <v>1</v>
      </c>
      <c r="G1545" s="3" t="s">
        <v>223</v>
      </c>
      <c r="H1545" s="5">
        <v>21000</v>
      </c>
      <c r="I1545" s="22" t="s">
        <v>681</v>
      </c>
      <c r="J1545" s="5" t="s">
        <v>102</v>
      </c>
    </row>
    <row r="1546" spans="1:10" ht="30">
      <c r="A1546" s="27" t="s">
        <v>1652</v>
      </c>
      <c r="B1546" s="22" t="s">
        <v>250</v>
      </c>
      <c r="C1546" s="22" t="s">
        <v>60</v>
      </c>
      <c r="D1546" s="22" t="s">
        <v>238</v>
      </c>
      <c r="E1546" s="22" t="s">
        <v>336</v>
      </c>
      <c r="F1546" s="6">
        <v>1</v>
      </c>
      <c r="G1546" s="22" t="s">
        <v>253</v>
      </c>
      <c r="H1546" s="5">
        <v>5000</v>
      </c>
      <c r="I1546" s="22" t="s">
        <v>681</v>
      </c>
      <c r="J1546" s="5" t="s">
        <v>102</v>
      </c>
    </row>
    <row r="1547" spans="1:10" ht="30">
      <c r="A1547" s="27" t="s">
        <v>1653</v>
      </c>
      <c r="B1547" s="3" t="s">
        <v>250</v>
      </c>
      <c r="C1547" s="22" t="s">
        <v>60</v>
      </c>
      <c r="D1547" s="3" t="s">
        <v>238</v>
      </c>
      <c r="E1547" s="3" t="s">
        <v>336</v>
      </c>
      <c r="F1547" s="6">
        <v>1</v>
      </c>
      <c r="G1547" s="3" t="s">
        <v>225</v>
      </c>
      <c r="H1547" s="5">
        <v>36000</v>
      </c>
      <c r="I1547" s="22" t="s">
        <v>681</v>
      </c>
      <c r="J1547" s="5" t="s">
        <v>102</v>
      </c>
    </row>
    <row r="1548" spans="1:10" ht="30">
      <c r="A1548" s="27" t="s">
        <v>1654</v>
      </c>
      <c r="B1548" s="3" t="s">
        <v>250</v>
      </c>
      <c r="C1548" s="22" t="s">
        <v>60</v>
      </c>
      <c r="D1548" s="3" t="s">
        <v>238</v>
      </c>
      <c r="E1548" s="3" t="s">
        <v>336</v>
      </c>
      <c r="F1548" s="6">
        <v>1</v>
      </c>
      <c r="G1548" s="3" t="s">
        <v>244</v>
      </c>
      <c r="H1548" s="5">
        <v>21000</v>
      </c>
      <c r="I1548" s="22" t="s">
        <v>681</v>
      </c>
      <c r="J1548" s="5" t="s">
        <v>102</v>
      </c>
    </row>
    <row r="1549" spans="1:10" ht="30">
      <c r="A1549" s="27" t="s">
        <v>1655</v>
      </c>
      <c r="B1549" s="3" t="s">
        <v>250</v>
      </c>
      <c r="C1549" s="22" t="s">
        <v>60</v>
      </c>
      <c r="D1549" s="3" t="s">
        <v>238</v>
      </c>
      <c r="E1549" s="3" t="s">
        <v>336</v>
      </c>
      <c r="F1549" s="6">
        <v>1</v>
      </c>
      <c r="G1549" s="3" t="s">
        <v>228</v>
      </c>
      <c r="H1549" s="5">
        <v>28000</v>
      </c>
      <c r="I1549" s="22" t="s">
        <v>681</v>
      </c>
      <c r="J1549" s="5" t="s">
        <v>102</v>
      </c>
    </row>
    <row r="1550" spans="1:10" ht="30">
      <c r="A1550" s="27" t="s">
        <v>1656</v>
      </c>
      <c r="B1550" s="3" t="s">
        <v>250</v>
      </c>
      <c r="C1550" s="22" t="s">
        <v>60</v>
      </c>
      <c r="D1550" s="3" t="s">
        <v>238</v>
      </c>
      <c r="E1550" s="3" t="s">
        <v>336</v>
      </c>
      <c r="F1550" s="6">
        <v>1</v>
      </c>
      <c r="G1550" s="3" t="s">
        <v>245</v>
      </c>
      <c r="H1550" s="5">
        <v>31000</v>
      </c>
      <c r="I1550" s="22" t="s">
        <v>681</v>
      </c>
      <c r="J1550" s="5" t="s">
        <v>102</v>
      </c>
    </row>
    <row r="1551" spans="1:10" ht="30">
      <c r="A1551" s="27" t="s">
        <v>1657</v>
      </c>
      <c r="B1551" s="3" t="s">
        <v>250</v>
      </c>
      <c r="C1551" s="22" t="s">
        <v>60</v>
      </c>
      <c r="D1551" s="3" t="s">
        <v>238</v>
      </c>
      <c r="E1551" s="3" t="s">
        <v>336</v>
      </c>
      <c r="F1551" s="6">
        <v>1</v>
      </c>
      <c r="G1551" s="3" t="s">
        <v>246</v>
      </c>
      <c r="H1551" s="5">
        <v>21000</v>
      </c>
      <c r="I1551" s="22" t="s">
        <v>681</v>
      </c>
      <c r="J1551" s="5" t="s">
        <v>102</v>
      </c>
    </row>
    <row r="1552" spans="1:10" ht="30">
      <c r="A1552" s="27" t="s">
        <v>1658</v>
      </c>
      <c r="B1552" s="22" t="s">
        <v>250</v>
      </c>
      <c r="C1552" s="22" t="s">
        <v>60</v>
      </c>
      <c r="D1552" s="22" t="s">
        <v>238</v>
      </c>
      <c r="E1552" s="22" t="s">
        <v>336</v>
      </c>
      <c r="F1552" s="6">
        <v>1</v>
      </c>
      <c r="G1552" s="22" t="s">
        <v>254</v>
      </c>
      <c r="H1552" s="5">
        <v>7000</v>
      </c>
      <c r="I1552" s="22" t="s">
        <v>681</v>
      </c>
      <c r="J1552" s="5" t="s">
        <v>102</v>
      </c>
    </row>
    <row r="1553" spans="1:10" ht="30">
      <c r="A1553" s="27" t="s">
        <v>1659</v>
      </c>
      <c r="B1553" s="3" t="s">
        <v>250</v>
      </c>
      <c r="C1553" s="22" t="s">
        <v>60</v>
      </c>
      <c r="D1553" s="3" t="s">
        <v>238</v>
      </c>
      <c r="E1553" s="3" t="s">
        <v>336</v>
      </c>
      <c r="F1553" s="6">
        <v>1</v>
      </c>
      <c r="G1553" s="3" t="s">
        <v>248</v>
      </c>
      <c r="H1553" s="5">
        <v>17000</v>
      </c>
      <c r="I1553" s="22" t="s">
        <v>681</v>
      </c>
      <c r="J1553" s="5" t="s">
        <v>102</v>
      </c>
    </row>
    <row r="1554" spans="1:10" ht="30">
      <c r="A1554" s="27" t="s">
        <v>1660</v>
      </c>
      <c r="B1554" s="3" t="s">
        <v>250</v>
      </c>
      <c r="C1554" s="22" t="s">
        <v>60</v>
      </c>
      <c r="D1554" s="3" t="s">
        <v>238</v>
      </c>
      <c r="E1554" s="3" t="s">
        <v>336</v>
      </c>
      <c r="F1554" s="6">
        <v>1</v>
      </c>
      <c r="G1554" s="3" t="s">
        <v>233</v>
      </c>
      <c r="H1554" s="5">
        <v>17000</v>
      </c>
      <c r="I1554" s="22" t="s">
        <v>681</v>
      </c>
      <c r="J1554" s="5" t="s">
        <v>102</v>
      </c>
    </row>
    <row r="1555" spans="1:10" ht="30">
      <c r="A1555" s="27" t="s">
        <v>1661</v>
      </c>
      <c r="B1555" s="3" t="s">
        <v>589</v>
      </c>
      <c r="C1555" s="3" t="s">
        <v>59</v>
      </c>
      <c r="D1555" s="3" t="s">
        <v>239</v>
      </c>
      <c r="E1555" s="3" t="s">
        <v>336</v>
      </c>
      <c r="F1555" s="6">
        <v>1</v>
      </c>
      <c r="G1555" s="3" t="s">
        <v>211</v>
      </c>
      <c r="H1555" s="5">
        <v>661200</v>
      </c>
      <c r="I1555" s="22" t="s">
        <v>681</v>
      </c>
      <c r="J1555" s="5" t="s">
        <v>102</v>
      </c>
    </row>
    <row r="1556" spans="1:10" ht="30">
      <c r="A1556" s="27" t="s">
        <v>1662</v>
      </c>
      <c r="B1556" s="3" t="s">
        <v>239</v>
      </c>
      <c r="C1556" s="3" t="s">
        <v>59</v>
      </c>
      <c r="D1556" s="3" t="s">
        <v>239</v>
      </c>
      <c r="E1556" s="3" t="s">
        <v>336</v>
      </c>
      <c r="F1556" s="6">
        <v>1</v>
      </c>
      <c r="G1556" s="3" t="s">
        <v>216</v>
      </c>
      <c r="H1556" s="5">
        <v>246600</v>
      </c>
      <c r="I1556" s="22" t="s">
        <v>681</v>
      </c>
      <c r="J1556" s="5" t="s">
        <v>102</v>
      </c>
    </row>
    <row r="1557" spans="1:10" ht="30">
      <c r="A1557" s="27" t="s">
        <v>1663</v>
      </c>
      <c r="B1557" s="3" t="s">
        <v>239</v>
      </c>
      <c r="C1557" s="3" t="s">
        <v>59</v>
      </c>
      <c r="D1557" s="3" t="s">
        <v>239</v>
      </c>
      <c r="E1557" s="3" t="s">
        <v>336</v>
      </c>
      <c r="F1557" s="6">
        <v>1</v>
      </c>
      <c r="G1557" s="3" t="s">
        <v>217</v>
      </c>
      <c r="H1557" s="5">
        <v>493600</v>
      </c>
      <c r="I1557" s="22" t="s">
        <v>681</v>
      </c>
      <c r="J1557" s="5" t="s">
        <v>102</v>
      </c>
    </row>
    <row r="1558" spans="1:10" ht="30">
      <c r="A1558" s="27" t="s">
        <v>1664</v>
      </c>
      <c r="B1558" s="3" t="s">
        <v>239</v>
      </c>
      <c r="C1558" s="3" t="s">
        <v>59</v>
      </c>
      <c r="D1558" s="3" t="s">
        <v>239</v>
      </c>
      <c r="E1558" s="3" t="s">
        <v>336</v>
      </c>
      <c r="F1558" s="6">
        <v>1</v>
      </c>
      <c r="G1558" s="3" t="s">
        <v>218</v>
      </c>
      <c r="H1558" s="5">
        <v>430000</v>
      </c>
      <c r="I1558" s="22" t="s">
        <v>681</v>
      </c>
      <c r="J1558" s="5" t="s">
        <v>102</v>
      </c>
    </row>
    <row r="1559" spans="1:10" ht="30">
      <c r="A1559" s="27" t="s">
        <v>1665</v>
      </c>
      <c r="B1559" s="3" t="s">
        <v>239</v>
      </c>
      <c r="C1559" s="3" t="s">
        <v>59</v>
      </c>
      <c r="D1559" s="3" t="s">
        <v>239</v>
      </c>
      <c r="E1559" s="3" t="s">
        <v>336</v>
      </c>
      <c r="F1559" s="6">
        <v>1</v>
      </c>
      <c r="G1559" s="3" t="s">
        <v>219</v>
      </c>
      <c r="H1559" s="5">
        <f>1309000-54800</f>
        <v>1254200</v>
      </c>
      <c r="I1559" s="22" t="s">
        <v>681</v>
      </c>
      <c r="J1559" s="5" t="s">
        <v>102</v>
      </c>
    </row>
    <row r="1560" spans="1:10" ht="30">
      <c r="A1560" s="27" t="s">
        <v>1666</v>
      </c>
      <c r="B1560" s="3" t="s">
        <v>239</v>
      </c>
      <c r="C1560" s="3" t="s">
        <v>59</v>
      </c>
      <c r="D1560" s="3" t="s">
        <v>239</v>
      </c>
      <c r="E1560" s="3" t="s">
        <v>336</v>
      </c>
      <c r="F1560" s="6">
        <v>1</v>
      </c>
      <c r="G1560" s="3" t="s">
        <v>242</v>
      </c>
      <c r="H1560" s="5">
        <v>837400</v>
      </c>
      <c r="I1560" s="22" t="s">
        <v>681</v>
      </c>
      <c r="J1560" s="5" t="s">
        <v>102</v>
      </c>
    </row>
    <row r="1561" spans="1:10" ht="30">
      <c r="A1561" s="27" t="s">
        <v>1667</v>
      </c>
      <c r="B1561" s="3" t="s">
        <v>239</v>
      </c>
      <c r="C1561" s="3" t="s">
        <v>59</v>
      </c>
      <c r="D1561" s="3" t="s">
        <v>239</v>
      </c>
      <c r="E1561" s="3" t="s">
        <v>336</v>
      </c>
      <c r="F1561" s="6">
        <v>1</v>
      </c>
      <c r="G1561" s="3" t="s">
        <v>280</v>
      </c>
      <c r="H1561" s="5">
        <v>191400</v>
      </c>
      <c r="I1561" s="22" t="s">
        <v>681</v>
      </c>
      <c r="J1561" s="5" t="s">
        <v>102</v>
      </c>
    </row>
    <row r="1562" spans="1:10" ht="30">
      <c r="A1562" s="27" t="s">
        <v>1668</v>
      </c>
      <c r="B1562" s="3" t="s">
        <v>239</v>
      </c>
      <c r="C1562" s="3" t="s">
        <v>59</v>
      </c>
      <c r="D1562" s="3" t="s">
        <v>239</v>
      </c>
      <c r="E1562" s="3" t="s">
        <v>336</v>
      </c>
      <c r="F1562" s="6">
        <v>1</v>
      </c>
      <c r="G1562" s="3" t="s">
        <v>221</v>
      </c>
      <c r="H1562" s="5">
        <v>321000</v>
      </c>
      <c r="I1562" s="22" t="s">
        <v>681</v>
      </c>
      <c r="J1562" s="5" t="s">
        <v>102</v>
      </c>
    </row>
    <row r="1563" spans="1:10" ht="30">
      <c r="A1563" s="27" t="s">
        <v>1669</v>
      </c>
      <c r="B1563" s="3" t="s">
        <v>239</v>
      </c>
      <c r="C1563" s="3" t="s">
        <v>59</v>
      </c>
      <c r="D1563" s="3" t="s">
        <v>239</v>
      </c>
      <c r="E1563" s="3" t="s">
        <v>336</v>
      </c>
      <c r="F1563" s="6">
        <v>1</v>
      </c>
      <c r="G1563" s="3" t="s">
        <v>252</v>
      </c>
      <c r="H1563" s="5">
        <v>177000</v>
      </c>
      <c r="I1563" s="22" t="s">
        <v>681</v>
      </c>
      <c r="J1563" s="5" t="s">
        <v>102</v>
      </c>
    </row>
    <row r="1564" spans="1:10" ht="30">
      <c r="A1564" s="27" t="s">
        <v>1670</v>
      </c>
      <c r="B1564" s="3" t="s">
        <v>239</v>
      </c>
      <c r="C1564" s="3" t="s">
        <v>59</v>
      </c>
      <c r="D1564" s="3" t="s">
        <v>239</v>
      </c>
      <c r="E1564" s="3" t="s">
        <v>336</v>
      </c>
      <c r="F1564" s="6">
        <v>1</v>
      </c>
      <c r="G1564" s="3" t="s">
        <v>223</v>
      </c>
      <c r="H1564" s="5">
        <v>338350</v>
      </c>
      <c r="I1564" s="22" t="s">
        <v>681</v>
      </c>
      <c r="J1564" s="5" t="s">
        <v>102</v>
      </c>
    </row>
    <row r="1565" spans="1:10" ht="30">
      <c r="A1565" s="27" t="s">
        <v>1671</v>
      </c>
      <c r="B1565" s="3" t="s">
        <v>239</v>
      </c>
      <c r="C1565" s="3" t="s">
        <v>59</v>
      </c>
      <c r="D1565" s="3" t="s">
        <v>239</v>
      </c>
      <c r="E1565" s="3" t="s">
        <v>336</v>
      </c>
      <c r="F1565" s="6">
        <v>1</v>
      </c>
      <c r="G1565" s="3" t="s">
        <v>253</v>
      </c>
      <c r="H1565" s="5">
        <v>63000</v>
      </c>
      <c r="I1565" s="22" t="s">
        <v>681</v>
      </c>
      <c r="J1565" s="5" t="s">
        <v>102</v>
      </c>
    </row>
    <row r="1566" spans="1:10" ht="30">
      <c r="A1566" s="27" t="s">
        <v>1672</v>
      </c>
      <c r="B1566" s="3" t="s">
        <v>239</v>
      </c>
      <c r="C1566" s="3" t="s">
        <v>59</v>
      </c>
      <c r="D1566" s="3" t="s">
        <v>239</v>
      </c>
      <c r="E1566" s="3" t="s">
        <v>336</v>
      </c>
      <c r="F1566" s="6">
        <v>1</v>
      </c>
      <c r="G1566" s="3" t="s">
        <v>225</v>
      </c>
      <c r="H1566" s="5">
        <v>511000</v>
      </c>
      <c r="I1566" s="22" t="s">
        <v>681</v>
      </c>
      <c r="J1566" s="5" t="s">
        <v>102</v>
      </c>
    </row>
    <row r="1567" spans="1:10" ht="30">
      <c r="A1567" s="27" t="s">
        <v>1673</v>
      </c>
      <c r="B1567" s="3" t="s">
        <v>239</v>
      </c>
      <c r="C1567" s="3" t="s">
        <v>59</v>
      </c>
      <c r="D1567" s="3" t="s">
        <v>239</v>
      </c>
      <c r="E1567" s="3" t="s">
        <v>336</v>
      </c>
      <c r="F1567" s="6">
        <v>1</v>
      </c>
      <c r="G1567" s="3" t="s">
        <v>226</v>
      </c>
      <c r="H1567" s="5">
        <v>520300</v>
      </c>
      <c r="I1567" s="22" t="s">
        <v>681</v>
      </c>
      <c r="J1567" s="5" t="s">
        <v>102</v>
      </c>
    </row>
    <row r="1568" spans="1:10" ht="30">
      <c r="A1568" s="27" t="s">
        <v>1674</v>
      </c>
      <c r="B1568" s="3" t="s">
        <v>239</v>
      </c>
      <c r="C1568" s="3" t="s">
        <v>59</v>
      </c>
      <c r="D1568" s="3" t="s">
        <v>239</v>
      </c>
      <c r="E1568" s="3" t="s">
        <v>336</v>
      </c>
      <c r="F1568" s="6">
        <v>1</v>
      </c>
      <c r="G1568" s="3" t="s">
        <v>244</v>
      </c>
      <c r="H1568" s="5">
        <v>309000</v>
      </c>
      <c r="I1568" s="22" t="s">
        <v>681</v>
      </c>
      <c r="J1568" s="5" t="s">
        <v>102</v>
      </c>
    </row>
    <row r="1569" spans="1:10" ht="30">
      <c r="A1569" s="27" t="s">
        <v>1675</v>
      </c>
      <c r="B1569" s="3" t="s">
        <v>239</v>
      </c>
      <c r="C1569" s="3" t="s">
        <v>59</v>
      </c>
      <c r="D1569" s="3" t="s">
        <v>239</v>
      </c>
      <c r="E1569" s="3" t="s">
        <v>336</v>
      </c>
      <c r="F1569" s="6">
        <v>1</v>
      </c>
      <c r="G1569" s="3" t="s">
        <v>228</v>
      </c>
      <c r="H1569" s="5">
        <v>239400</v>
      </c>
      <c r="I1569" s="22" t="s">
        <v>681</v>
      </c>
      <c r="J1569" s="5" t="s">
        <v>102</v>
      </c>
    </row>
    <row r="1570" spans="1:10" ht="30">
      <c r="A1570" s="27" t="s">
        <v>1676</v>
      </c>
      <c r="B1570" s="3" t="s">
        <v>239</v>
      </c>
      <c r="C1570" s="3" t="s">
        <v>59</v>
      </c>
      <c r="D1570" s="3" t="s">
        <v>239</v>
      </c>
      <c r="E1570" s="3" t="s">
        <v>336</v>
      </c>
      <c r="F1570" s="6">
        <v>1</v>
      </c>
      <c r="G1570" s="3" t="s">
        <v>245</v>
      </c>
      <c r="H1570" s="5">
        <v>614000</v>
      </c>
      <c r="I1570" s="22" t="s">
        <v>681</v>
      </c>
      <c r="J1570" s="5" t="s">
        <v>102</v>
      </c>
    </row>
    <row r="1571" spans="1:10" ht="30">
      <c r="A1571" s="27" t="s">
        <v>1677</v>
      </c>
      <c r="B1571" s="3" t="s">
        <v>239</v>
      </c>
      <c r="C1571" s="3" t="s">
        <v>59</v>
      </c>
      <c r="D1571" s="3" t="s">
        <v>239</v>
      </c>
      <c r="E1571" s="3" t="s">
        <v>336</v>
      </c>
      <c r="F1571" s="6">
        <v>1</v>
      </c>
      <c r="G1571" s="3" t="s">
        <v>246</v>
      </c>
      <c r="H1571" s="5">
        <f>192000+54800+64000</f>
        <v>310800</v>
      </c>
      <c r="I1571" s="22" t="s">
        <v>681</v>
      </c>
      <c r="J1571" s="5" t="s">
        <v>102</v>
      </c>
    </row>
    <row r="1572" spans="1:10" ht="30">
      <c r="A1572" s="27" t="s">
        <v>1678</v>
      </c>
      <c r="B1572" s="3" t="s">
        <v>239</v>
      </c>
      <c r="C1572" s="3" t="s">
        <v>59</v>
      </c>
      <c r="D1572" s="3" t="s">
        <v>239</v>
      </c>
      <c r="E1572" s="3" t="s">
        <v>336</v>
      </c>
      <c r="F1572" s="6">
        <v>1</v>
      </c>
      <c r="G1572" s="3" t="s">
        <v>254</v>
      </c>
      <c r="H1572" s="5">
        <f>64000-64000</f>
        <v>0</v>
      </c>
      <c r="I1572" s="22" t="s">
        <v>681</v>
      </c>
      <c r="J1572" s="5" t="s">
        <v>102</v>
      </c>
    </row>
    <row r="1573" spans="1:10" ht="30">
      <c r="A1573" s="27" t="s">
        <v>1679</v>
      </c>
      <c r="B1573" s="3" t="s">
        <v>239</v>
      </c>
      <c r="C1573" s="3" t="s">
        <v>59</v>
      </c>
      <c r="D1573" s="3" t="s">
        <v>239</v>
      </c>
      <c r="E1573" s="3" t="s">
        <v>336</v>
      </c>
      <c r="F1573" s="6">
        <v>1</v>
      </c>
      <c r="G1573" s="3" t="s">
        <v>248</v>
      </c>
      <c r="H1573" s="5">
        <v>629000</v>
      </c>
      <c r="I1573" s="22" t="s">
        <v>681</v>
      </c>
      <c r="J1573" s="5" t="s">
        <v>102</v>
      </c>
    </row>
    <row r="1574" spans="1:10" ht="30">
      <c r="A1574" s="27" t="s">
        <v>1680</v>
      </c>
      <c r="B1574" s="3" t="s">
        <v>239</v>
      </c>
      <c r="C1574" s="3" t="s">
        <v>59</v>
      </c>
      <c r="D1574" s="3" t="s">
        <v>239</v>
      </c>
      <c r="E1574" s="3" t="s">
        <v>336</v>
      </c>
      <c r="F1574" s="6">
        <v>1</v>
      </c>
      <c r="G1574" s="3" t="s">
        <v>233</v>
      </c>
      <c r="H1574" s="5">
        <v>652000</v>
      </c>
      <c r="I1574" s="22" t="s">
        <v>681</v>
      </c>
      <c r="J1574" s="5" t="s">
        <v>102</v>
      </c>
    </row>
    <row r="1575" spans="1:10" ht="60">
      <c r="A1575" s="27" t="s">
        <v>1681</v>
      </c>
      <c r="B1575" s="3" t="s">
        <v>256</v>
      </c>
      <c r="C1575" s="3" t="s">
        <v>59</v>
      </c>
      <c r="D1575" s="3" t="s">
        <v>255</v>
      </c>
      <c r="E1575" s="3" t="s">
        <v>336</v>
      </c>
      <c r="F1575" s="6">
        <v>1</v>
      </c>
      <c r="G1575" s="3" t="s">
        <v>211</v>
      </c>
      <c r="H1575" s="5">
        <v>148000</v>
      </c>
      <c r="I1575" s="22" t="s">
        <v>681</v>
      </c>
      <c r="J1575" s="5" t="s">
        <v>102</v>
      </c>
    </row>
    <row r="1576" spans="1:10" ht="60">
      <c r="A1576" s="27" t="s">
        <v>1682</v>
      </c>
      <c r="B1576" s="3" t="s">
        <v>256</v>
      </c>
      <c r="C1576" s="3" t="s">
        <v>59</v>
      </c>
      <c r="D1576" s="3" t="s">
        <v>255</v>
      </c>
      <c r="E1576" s="3" t="s">
        <v>336</v>
      </c>
      <c r="F1576" s="6">
        <v>1</v>
      </c>
      <c r="G1576" s="3" t="s">
        <v>216</v>
      </c>
      <c r="H1576" s="5">
        <v>180000</v>
      </c>
      <c r="I1576" s="22" t="s">
        <v>681</v>
      </c>
      <c r="J1576" s="5" t="s">
        <v>102</v>
      </c>
    </row>
    <row r="1577" spans="1:10" ht="60">
      <c r="A1577" s="27" t="s">
        <v>1683</v>
      </c>
      <c r="B1577" s="3" t="s">
        <v>256</v>
      </c>
      <c r="C1577" s="3" t="s">
        <v>59</v>
      </c>
      <c r="D1577" s="3" t="s">
        <v>255</v>
      </c>
      <c r="E1577" s="3" t="s">
        <v>336</v>
      </c>
      <c r="F1577" s="6">
        <v>1</v>
      </c>
      <c r="G1577" s="3" t="s">
        <v>217</v>
      </c>
      <c r="H1577" s="5">
        <v>180000</v>
      </c>
      <c r="I1577" s="22" t="s">
        <v>681</v>
      </c>
      <c r="J1577" s="5" t="s">
        <v>102</v>
      </c>
    </row>
    <row r="1578" spans="1:10" ht="60">
      <c r="A1578" s="27" t="s">
        <v>1684</v>
      </c>
      <c r="B1578" s="3" t="s">
        <v>256</v>
      </c>
      <c r="C1578" s="3" t="s">
        <v>59</v>
      </c>
      <c r="D1578" s="3" t="s">
        <v>255</v>
      </c>
      <c r="E1578" s="3" t="s">
        <v>336</v>
      </c>
      <c r="F1578" s="6">
        <v>1</v>
      </c>
      <c r="G1578" s="3" t="s">
        <v>218</v>
      </c>
      <c r="H1578" s="5">
        <f>180000+20000</f>
        <v>200000</v>
      </c>
      <c r="I1578" s="22" t="s">
        <v>681</v>
      </c>
      <c r="J1578" s="5" t="s">
        <v>102</v>
      </c>
    </row>
    <row r="1579" spans="1:10" ht="60">
      <c r="A1579" s="27" t="s">
        <v>1685</v>
      </c>
      <c r="B1579" s="3" t="s">
        <v>256</v>
      </c>
      <c r="C1579" s="3" t="s">
        <v>59</v>
      </c>
      <c r="D1579" s="3" t="s">
        <v>255</v>
      </c>
      <c r="E1579" s="3" t="s">
        <v>336</v>
      </c>
      <c r="F1579" s="6">
        <v>1</v>
      </c>
      <c r="G1579" s="3" t="s">
        <v>219</v>
      </c>
      <c r="H1579" s="5">
        <v>180000</v>
      </c>
      <c r="I1579" s="22" t="s">
        <v>681</v>
      </c>
      <c r="J1579" s="5" t="s">
        <v>102</v>
      </c>
    </row>
    <row r="1580" spans="1:10" ht="60">
      <c r="A1580" s="27" t="s">
        <v>1686</v>
      </c>
      <c r="B1580" s="3" t="s">
        <v>256</v>
      </c>
      <c r="C1580" s="3" t="s">
        <v>59</v>
      </c>
      <c r="D1580" s="3" t="s">
        <v>255</v>
      </c>
      <c r="E1580" s="3" t="s">
        <v>336</v>
      </c>
      <c r="F1580" s="6">
        <v>1</v>
      </c>
      <c r="G1580" s="3" t="s">
        <v>242</v>
      </c>
      <c r="H1580" s="5">
        <v>264000</v>
      </c>
      <c r="I1580" s="22" t="s">
        <v>681</v>
      </c>
      <c r="J1580" s="5" t="s">
        <v>102</v>
      </c>
    </row>
    <row r="1581" spans="1:10" ht="60">
      <c r="A1581" s="27" t="s">
        <v>1687</v>
      </c>
      <c r="B1581" s="3" t="s">
        <v>256</v>
      </c>
      <c r="C1581" s="3" t="s">
        <v>59</v>
      </c>
      <c r="D1581" s="3" t="s">
        <v>255</v>
      </c>
      <c r="E1581" s="3" t="s">
        <v>336</v>
      </c>
      <c r="F1581" s="6">
        <v>1</v>
      </c>
      <c r="G1581" s="3" t="s">
        <v>251</v>
      </c>
      <c r="H1581" s="5">
        <v>45000</v>
      </c>
      <c r="I1581" s="22" t="s">
        <v>681</v>
      </c>
      <c r="J1581" s="5" t="s">
        <v>102</v>
      </c>
    </row>
    <row r="1582" spans="1:10" ht="60">
      <c r="A1582" s="27" t="s">
        <v>1688</v>
      </c>
      <c r="B1582" s="3" t="s">
        <v>256</v>
      </c>
      <c r="C1582" s="3" t="s">
        <v>59</v>
      </c>
      <c r="D1582" s="3" t="s">
        <v>255</v>
      </c>
      <c r="E1582" s="3" t="s">
        <v>336</v>
      </c>
      <c r="F1582" s="6">
        <v>1</v>
      </c>
      <c r="G1582" s="3" t="s">
        <v>221</v>
      </c>
      <c r="H1582" s="5">
        <f>180000+12000</f>
        <v>192000</v>
      </c>
      <c r="I1582" s="22" t="s">
        <v>681</v>
      </c>
      <c r="J1582" s="5" t="s">
        <v>102</v>
      </c>
    </row>
    <row r="1583" spans="1:10" ht="60">
      <c r="A1583" s="27" t="s">
        <v>1689</v>
      </c>
      <c r="B1583" s="3" t="s">
        <v>256</v>
      </c>
      <c r="C1583" s="3" t="s">
        <v>59</v>
      </c>
      <c r="D1583" s="3" t="s">
        <v>255</v>
      </c>
      <c r="E1583" s="3" t="s">
        <v>336</v>
      </c>
      <c r="F1583" s="6">
        <v>1</v>
      </c>
      <c r="G1583" s="3" t="s">
        <v>252</v>
      </c>
      <c r="H1583" s="5">
        <v>45000</v>
      </c>
      <c r="I1583" s="22" t="s">
        <v>681</v>
      </c>
      <c r="J1583" s="5" t="s">
        <v>102</v>
      </c>
    </row>
    <row r="1584" spans="1:10" ht="60">
      <c r="A1584" s="27" t="s">
        <v>1690</v>
      </c>
      <c r="B1584" s="3" t="s">
        <v>256</v>
      </c>
      <c r="C1584" s="3" t="s">
        <v>59</v>
      </c>
      <c r="D1584" s="3" t="s">
        <v>255</v>
      </c>
      <c r="E1584" s="3" t="s">
        <v>336</v>
      </c>
      <c r="F1584" s="6">
        <v>1</v>
      </c>
      <c r="G1584" s="3" t="s">
        <v>223</v>
      </c>
      <c r="H1584" s="5">
        <v>180000</v>
      </c>
      <c r="I1584" s="22" t="s">
        <v>681</v>
      </c>
      <c r="J1584" s="5" t="s">
        <v>102</v>
      </c>
    </row>
    <row r="1585" spans="1:10" ht="60">
      <c r="A1585" s="27" t="s">
        <v>1691</v>
      </c>
      <c r="B1585" s="3" t="s">
        <v>256</v>
      </c>
      <c r="C1585" s="3" t="s">
        <v>59</v>
      </c>
      <c r="D1585" s="3" t="s">
        <v>255</v>
      </c>
      <c r="E1585" s="3" t="s">
        <v>336</v>
      </c>
      <c r="F1585" s="6">
        <v>1</v>
      </c>
      <c r="G1585" s="3" t="s">
        <v>225</v>
      </c>
      <c r="H1585" s="5">
        <v>180000</v>
      </c>
      <c r="I1585" s="22" t="s">
        <v>681</v>
      </c>
      <c r="J1585" s="5" t="s">
        <v>102</v>
      </c>
    </row>
    <row r="1586" spans="1:10" ht="60">
      <c r="A1586" s="27" t="s">
        <v>1692</v>
      </c>
      <c r="B1586" s="3" t="s">
        <v>256</v>
      </c>
      <c r="C1586" s="3" t="s">
        <v>59</v>
      </c>
      <c r="D1586" s="3" t="s">
        <v>255</v>
      </c>
      <c r="E1586" s="3" t="s">
        <v>336</v>
      </c>
      <c r="F1586" s="6">
        <v>1</v>
      </c>
      <c r="G1586" s="3" t="s">
        <v>226</v>
      </c>
      <c r="H1586" s="5">
        <v>180000</v>
      </c>
      <c r="I1586" s="22" t="s">
        <v>681</v>
      </c>
      <c r="J1586" s="5" t="s">
        <v>102</v>
      </c>
    </row>
    <row r="1587" spans="1:10" ht="60">
      <c r="A1587" s="27" t="s">
        <v>1693</v>
      </c>
      <c r="B1587" s="3" t="s">
        <v>256</v>
      </c>
      <c r="C1587" s="3" t="s">
        <v>59</v>
      </c>
      <c r="D1587" s="3" t="s">
        <v>255</v>
      </c>
      <c r="E1587" s="3" t="s">
        <v>336</v>
      </c>
      <c r="F1587" s="6">
        <v>1</v>
      </c>
      <c r="G1587" s="3" t="s">
        <v>244</v>
      </c>
      <c r="H1587" s="5">
        <v>180000</v>
      </c>
      <c r="I1587" s="22" t="s">
        <v>681</v>
      </c>
      <c r="J1587" s="5" t="s">
        <v>102</v>
      </c>
    </row>
    <row r="1588" spans="1:10" ht="60">
      <c r="A1588" s="27" t="s">
        <v>1694</v>
      </c>
      <c r="B1588" s="3" t="s">
        <v>256</v>
      </c>
      <c r="C1588" s="3" t="s">
        <v>59</v>
      </c>
      <c r="D1588" s="3" t="s">
        <v>255</v>
      </c>
      <c r="E1588" s="3" t="s">
        <v>336</v>
      </c>
      <c r="F1588" s="6">
        <v>1</v>
      </c>
      <c r="G1588" s="3" t="s">
        <v>228</v>
      </c>
      <c r="H1588" s="5">
        <v>180000</v>
      </c>
      <c r="I1588" s="22" t="s">
        <v>681</v>
      </c>
      <c r="J1588" s="5" t="s">
        <v>102</v>
      </c>
    </row>
    <row r="1589" spans="1:10" ht="60">
      <c r="A1589" s="27" t="s">
        <v>1695</v>
      </c>
      <c r="B1589" s="3" t="s">
        <v>256</v>
      </c>
      <c r="C1589" s="3" t="s">
        <v>59</v>
      </c>
      <c r="D1589" s="3" t="s">
        <v>255</v>
      </c>
      <c r="E1589" s="3" t="s">
        <v>336</v>
      </c>
      <c r="F1589" s="6">
        <v>1</v>
      </c>
      <c r="G1589" s="3" t="s">
        <v>245</v>
      </c>
      <c r="H1589" s="5">
        <v>240000</v>
      </c>
      <c r="I1589" s="22" t="s">
        <v>681</v>
      </c>
      <c r="J1589" s="5" t="s">
        <v>102</v>
      </c>
    </row>
    <row r="1590" spans="1:10" ht="60">
      <c r="A1590" s="27" t="s">
        <v>1696</v>
      </c>
      <c r="B1590" s="3" t="s">
        <v>256</v>
      </c>
      <c r="C1590" s="3" t="s">
        <v>59</v>
      </c>
      <c r="D1590" s="3" t="s">
        <v>255</v>
      </c>
      <c r="E1590" s="3" t="s">
        <v>336</v>
      </c>
      <c r="F1590" s="6">
        <v>1</v>
      </c>
      <c r="G1590" s="3" t="s">
        <v>246</v>
      </c>
      <c r="H1590" s="5">
        <v>180000</v>
      </c>
      <c r="I1590" s="22" t="s">
        <v>681</v>
      </c>
      <c r="J1590" s="5" t="s">
        <v>102</v>
      </c>
    </row>
    <row r="1591" spans="1:10" ht="60">
      <c r="A1591" s="27" t="s">
        <v>1697</v>
      </c>
      <c r="B1591" s="3" t="s">
        <v>256</v>
      </c>
      <c r="C1591" s="3" t="s">
        <v>59</v>
      </c>
      <c r="D1591" s="3" t="s">
        <v>255</v>
      </c>
      <c r="E1591" s="3" t="s">
        <v>336</v>
      </c>
      <c r="F1591" s="6">
        <v>1</v>
      </c>
      <c r="G1591" s="3" t="s">
        <v>248</v>
      </c>
      <c r="H1591" s="5">
        <v>180000</v>
      </c>
      <c r="I1591" s="22" t="s">
        <v>681</v>
      </c>
      <c r="J1591" s="5" t="s">
        <v>102</v>
      </c>
    </row>
    <row r="1592" spans="1:10">
      <c r="A1592" s="27" t="s">
        <v>1698</v>
      </c>
      <c r="B1592" s="12" t="s">
        <v>257</v>
      </c>
      <c r="C1592" s="4" t="s">
        <v>578</v>
      </c>
      <c r="D1592" s="3" t="s">
        <v>257</v>
      </c>
      <c r="E1592" s="4" t="s">
        <v>578</v>
      </c>
      <c r="F1592" s="4" t="s">
        <v>578</v>
      </c>
      <c r="G1592" s="4" t="s">
        <v>101</v>
      </c>
      <c r="H1592" s="13">
        <f>SUM(H1593:H1611)</f>
        <v>193469931.13999999</v>
      </c>
      <c r="I1592" s="22" t="s">
        <v>578</v>
      </c>
      <c r="J1592" s="5" t="s">
        <v>102</v>
      </c>
    </row>
    <row r="1593" spans="1:10" ht="30">
      <c r="A1593" s="27" t="s">
        <v>1699</v>
      </c>
      <c r="B1593" s="3" t="s">
        <v>34</v>
      </c>
      <c r="C1593" s="3" t="s">
        <v>60</v>
      </c>
      <c r="D1593" s="3" t="s">
        <v>258</v>
      </c>
      <c r="E1593" s="3" t="s">
        <v>336</v>
      </c>
      <c r="F1593" s="6">
        <v>1</v>
      </c>
      <c r="G1593" s="3" t="s">
        <v>101</v>
      </c>
      <c r="H1593" s="5">
        <f>4968592.93+736671-1478400-446.43+32232.14</f>
        <v>4258649.6399999997</v>
      </c>
      <c r="I1593" s="3" t="s">
        <v>681</v>
      </c>
      <c r="J1593" s="5" t="s">
        <v>102</v>
      </c>
    </row>
    <row r="1594" spans="1:10" ht="30">
      <c r="A1594" s="27" t="s">
        <v>1700</v>
      </c>
      <c r="B1594" s="3" t="s">
        <v>35</v>
      </c>
      <c r="C1594" s="3" t="s">
        <v>60</v>
      </c>
      <c r="D1594" s="3" t="s">
        <v>35</v>
      </c>
      <c r="E1594" s="3" t="s">
        <v>336</v>
      </c>
      <c r="F1594" s="6">
        <v>1</v>
      </c>
      <c r="G1594" s="3" t="s">
        <v>101</v>
      </c>
      <c r="H1594" s="5">
        <f>515875.71-138000.52</f>
        <v>377875.19000000006</v>
      </c>
      <c r="I1594" s="22" t="s">
        <v>681</v>
      </c>
      <c r="J1594" s="5" t="s">
        <v>102</v>
      </c>
    </row>
    <row r="1595" spans="1:10" ht="45">
      <c r="A1595" s="27" t="s">
        <v>1701</v>
      </c>
      <c r="B1595" s="3" t="s">
        <v>259</v>
      </c>
      <c r="C1595" s="3" t="s">
        <v>60</v>
      </c>
      <c r="D1595" s="3" t="s">
        <v>36</v>
      </c>
      <c r="E1595" s="3" t="s">
        <v>336</v>
      </c>
      <c r="F1595" s="6">
        <v>1</v>
      </c>
      <c r="G1595" s="3" t="s">
        <v>101</v>
      </c>
      <c r="H1595" s="5">
        <f>596128.26+138000.52</f>
        <v>734128.78</v>
      </c>
      <c r="I1595" s="22" t="s">
        <v>681</v>
      </c>
      <c r="J1595" s="5" t="s">
        <v>102</v>
      </c>
    </row>
    <row r="1596" spans="1:10" ht="45">
      <c r="A1596" s="27" t="s">
        <v>1702</v>
      </c>
      <c r="B1596" s="3" t="s">
        <v>260</v>
      </c>
      <c r="C1596" s="3" t="s">
        <v>60</v>
      </c>
      <c r="D1596" s="3" t="s">
        <v>37</v>
      </c>
      <c r="E1596" s="3" t="s">
        <v>336</v>
      </c>
      <c r="F1596" s="6">
        <v>1</v>
      </c>
      <c r="G1596" s="3" t="s">
        <v>101</v>
      </c>
      <c r="H1596" s="5">
        <f>2638639.29+2330357-32232.14</f>
        <v>4936764.1500000004</v>
      </c>
      <c r="I1596" s="22" t="s">
        <v>681</v>
      </c>
      <c r="J1596" s="5" t="s">
        <v>102</v>
      </c>
    </row>
    <row r="1597" spans="1:10" ht="30">
      <c r="A1597" s="27" t="s">
        <v>1703</v>
      </c>
      <c r="B1597" s="3" t="s">
        <v>38</v>
      </c>
      <c r="C1597" s="3" t="s">
        <v>60</v>
      </c>
      <c r="D1597" s="3" t="s">
        <v>38</v>
      </c>
      <c r="E1597" s="3" t="s">
        <v>336</v>
      </c>
      <c r="F1597" s="6">
        <v>1</v>
      </c>
      <c r="G1597" s="3" t="s">
        <v>101</v>
      </c>
      <c r="H1597" s="5">
        <v>1071428.57</v>
      </c>
      <c r="I1597" s="22" t="s">
        <v>681</v>
      </c>
      <c r="J1597" s="5" t="s">
        <v>102</v>
      </c>
    </row>
    <row r="1598" spans="1:10" ht="30">
      <c r="A1598" s="27" t="s">
        <v>1704</v>
      </c>
      <c r="B1598" s="3" t="s">
        <v>39</v>
      </c>
      <c r="C1598" s="3" t="s">
        <v>60</v>
      </c>
      <c r="D1598" s="3" t="s">
        <v>39</v>
      </c>
      <c r="E1598" s="3" t="s">
        <v>336</v>
      </c>
      <c r="F1598" s="6">
        <v>1</v>
      </c>
      <c r="G1598" s="3" t="s">
        <v>101</v>
      </c>
      <c r="H1598" s="5">
        <v>2317857.14</v>
      </c>
      <c r="I1598" s="22" t="s">
        <v>681</v>
      </c>
      <c r="J1598" s="5" t="s">
        <v>102</v>
      </c>
    </row>
    <row r="1599" spans="1:10" ht="30">
      <c r="A1599" s="27" t="s">
        <v>1705</v>
      </c>
      <c r="B1599" s="3" t="s">
        <v>40</v>
      </c>
      <c r="C1599" s="3" t="s">
        <v>60</v>
      </c>
      <c r="D1599" s="3" t="s">
        <v>40</v>
      </c>
      <c r="E1599" s="3" t="s">
        <v>336</v>
      </c>
      <c r="F1599" s="6">
        <v>1</v>
      </c>
      <c r="G1599" s="3" t="s">
        <v>101</v>
      </c>
      <c r="H1599" s="5">
        <f>263392.86+109375</f>
        <v>372767.86</v>
      </c>
      <c r="I1599" s="22" t="s">
        <v>681</v>
      </c>
      <c r="J1599" s="5" t="s">
        <v>102</v>
      </c>
    </row>
    <row r="1600" spans="1:10" ht="75">
      <c r="A1600" s="27" t="s">
        <v>1706</v>
      </c>
      <c r="B1600" s="3" t="s">
        <v>261</v>
      </c>
      <c r="C1600" s="3" t="s">
        <v>58</v>
      </c>
      <c r="D1600" s="3" t="s">
        <v>41</v>
      </c>
      <c r="E1600" s="3" t="s">
        <v>336</v>
      </c>
      <c r="F1600" s="6">
        <v>1</v>
      </c>
      <c r="G1600" s="3" t="s">
        <v>101</v>
      </c>
      <c r="H1600" s="5">
        <v>34889904.310000002</v>
      </c>
      <c r="I1600" s="22" t="s">
        <v>681</v>
      </c>
      <c r="J1600" s="5" t="s">
        <v>102</v>
      </c>
    </row>
    <row r="1601" spans="1:10" ht="75">
      <c r="A1601" s="27" t="s">
        <v>1707</v>
      </c>
      <c r="B1601" s="3" t="s">
        <v>262</v>
      </c>
      <c r="C1601" s="3" t="s">
        <v>60</v>
      </c>
      <c r="D1601" s="3" t="s">
        <v>263</v>
      </c>
      <c r="E1601" s="3" t="s">
        <v>336</v>
      </c>
      <c r="F1601" s="6">
        <v>1</v>
      </c>
      <c r="G1601" s="3" t="s">
        <v>101</v>
      </c>
      <c r="H1601" s="5">
        <v>321428.57</v>
      </c>
      <c r="I1601" s="22" t="s">
        <v>681</v>
      </c>
      <c r="J1601" s="5" t="s">
        <v>102</v>
      </c>
    </row>
    <row r="1602" spans="1:10" ht="45">
      <c r="A1602" s="27" t="s">
        <v>1708</v>
      </c>
      <c r="B1602" s="3" t="s">
        <v>265</v>
      </c>
      <c r="C1602" s="3" t="s">
        <v>60</v>
      </c>
      <c r="D1602" s="3" t="s">
        <v>264</v>
      </c>
      <c r="E1602" s="3" t="s">
        <v>336</v>
      </c>
      <c r="F1602" s="6">
        <v>1</v>
      </c>
      <c r="G1602" s="3" t="s">
        <v>101</v>
      </c>
      <c r="H1602" s="5">
        <v>4057074.93</v>
      </c>
      <c r="I1602" s="22" t="s">
        <v>681</v>
      </c>
      <c r="J1602" s="5" t="s">
        <v>102</v>
      </c>
    </row>
    <row r="1603" spans="1:10" ht="30">
      <c r="A1603" s="27" t="s">
        <v>1709</v>
      </c>
      <c r="B1603" s="22" t="s">
        <v>851</v>
      </c>
      <c r="C1603" s="22" t="s">
        <v>60</v>
      </c>
      <c r="D1603" s="22" t="s">
        <v>851</v>
      </c>
      <c r="E1603" s="22" t="s">
        <v>336</v>
      </c>
      <c r="F1603" s="6">
        <v>1</v>
      </c>
      <c r="G1603" s="22" t="s">
        <v>101</v>
      </c>
      <c r="H1603" s="5">
        <v>15502678.57</v>
      </c>
      <c r="I1603" s="22" t="s">
        <v>681</v>
      </c>
      <c r="J1603" s="5"/>
    </row>
    <row r="1604" spans="1:10" ht="30">
      <c r="A1604" s="27" t="s">
        <v>1710</v>
      </c>
      <c r="B1604" s="3" t="s">
        <v>266</v>
      </c>
      <c r="C1604" s="3" t="s">
        <v>60</v>
      </c>
      <c r="D1604" s="3" t="s">
        <v>266</v>
      </c>
      <c r="E1604" s="3" t="s">
        <v>336</v>
      </c>
      <c r="F1604" s="6">
        <v>1</v>
      </c>
      <c r="G1604" s="3" t="s">
        <v>101</v>
      </c>
      <c r="H1604" s="5">
        <v>5900999.9999999991</v>
      </c>
      <c r="I1604" s="22" t="s">
        <v>681</v>
      </c>
      <c r="J1604" s="5" t="s">
        <v>102</v>
      </c>
    </row>
    <row r="1605" spans="1:10" ht="30">
      <c r="A1605" s="27" t="s">
        <v>1711</v>
      </c>
      <c r="B1605" s="3" t="s">
        <v>267</v>
      </c>
      <c r="C1605" s="3" t="s">
        <v>60</v>
      </c>
      <c r="D1605" s="3" t="s">
        <v>42</v>
      </c>
      <c r="E1605" s="3" t="s">
        <v>336</v>
      </c>
      <c r="F1605" s="6">
        <v>1</v>
      </c>
      <c r="G1605" s="3" t="s">
        <v>101</v>
      </c>
      <c r="H1605" s="5">
        <v>99599999.999999985</v>
      </c>
      <c r="I1605" s="22" t="s">
        <v>681</v>
      </c>
      <c r="J1605" s="5" t="s">
        <v>102</v>
      </c>
    </row>
    <row r="1606" spans="1:10" ht="30">
      <c r="A1606" s="27" t="s">
        <v>1712</v>
      </c>
      <c r="B1606" s="3" t="s">
        <v>43</v>
      </c>
      <c r="C1606" s="3" t="s">
        <v>60</v>
      </c>
      <c r="D1606" s="3" t="s">
        <v>43</v>
      </c>
      <c r="E1606" s="3" t="s">
        <v>336</v>
      </c>
      <c r="F1606" s="6">
        <v>1</v>
      </c>
      <c r="G1606" s="3" t="s">
        <v>101</v>
      </c>
      <c r="H1606" s="5">
        <v>3847095</v>
      </c>
      <c r="I1606" s="22" t="s">
        <v>681</v>
      </c>
      <c r="J1606" s="5" t="s">
        <v>102</v>
      </c>
    </row>
    <row r="1607" spans="1:10" ht="30">
      <c r="A1607" s="27" t="s">
        <v>1713</v>
      </c>
      <c r="B1607" s="3" t="s">
        <v>268</v>
      </c>
      <c r="C1607" s="3" t="s">
        <v>60</v>
      </c>
      <c r="D1607" s="3" t="s">
        <v>268</v>
      </c>
      <c r="E1607" s="3" t="s">
        <v>336</v>
      </c>
      <c r="F1607" s="6">
        <v>1</v>
      </c>
      <c r="G1607" s="3" t="s">
        <v>101</v>
      </c>
      <c r="H1607" s="5">
        <v>1375000</v>
      </c>
      <c r="I1607" s="22" t="s">
        <v>681</v>
      </c>
      <c r="J1607" s="5" t="s">
        <v>102</v>
      </c>
    </row>
    <row r="1608" spans="1:10" ht="30">
      <c r="A1608" s="27" t="s">
        <v>1714</v>
      </c>
      <c r="B1608" s="22" t="s">
        <v>852</v>
      </c>
      <c r="C1608" s="3" t="s">
        <v>60</v>
      </c>
      <c r="D1608" s="22" t="s">
        <v>852</v>
      </c>
      <c r="E1608" s="3" t="s">
        <v>336</v>
      </c>
      <c r="F1608" s="6">
        <v>1</v>
      </c>
      <c r="G1608" s="3" t="s">
        <v>101</v>
      </c>
      <c r="H1608" s="5">
        <v>12337499.999999998</v>
      </c>
      <c r="I1608" s="22" t="s">
        <v>681</v>
      </c>
      <c r="J1608" s="5" t="s">
        <v>102</v>
      </c>
    </row>
    <row r="1609" spans="1:10" ht="30">
      <c r="A1609" s="27" t="s">
        <v>1715</v>
      </c>
      <c r="B1609" s="22" t="s">
        <v>860</v>
      </c>
      <c r="C1609" s="22" t="s">
        <v>60</v>
      </c>
      <c r="D1609" s="22" t="s">
        <v>859</v>
      </c>
      <c r="E1609" s="22" t="s">
        <v>336</v>
      </c>
      <c r="F1609" s="6">
        <v>1</v>
      </c>
      <c r="G1609" s="22" t="s">
        <v>101</v>
      </c>
      <c r="H1609" s="5">
        <v>63682</v>
      </c>
      <c r="I1609" s="22" t="s">
        <v>681</v>
      </c>
      <c r="J1609" s="5" t="s">
        <v>102</v>
      </c>
    </row>
    <row r="1610" spans="1:10" ht="30">
      <c r="A1610" s="27" t="s">
        <v>1716</v>
      </c>
      <c r="B1610" s="22" t="s">
        <v>861</v>
      </c>
      <c r="C1610" s="22" t="s">
        <v>60</v>
      </c>
      <c r="D1610" s="22" t="s">
        <v>861</v>
      </c>
      <c r="E1610" s="22" t="s">
        <v>336</v>
      </c>
      <c r="F1610" s="6">
        <v>1</v>
      </c>
      <c r="G1610" s="22" t="s">
        <v>101</v>
      </c>
      <c r="H1610" s="5">
        <f>26250+446.43</f>
        <v>26696.43</v>
      </c>
      <c r="I1610" s="22" t="s">
        <v>681</v>
      </c>
      <c r="J1610" s="5" t="s">
        <v>102</v>
      </c>
    </row>
    <row r="1611" spans="1:10" ht="30">
      <c r="A1611" s="27" t="s">
        <v>2150</v>
      </c>
      <c r="B1611" s="22" t="s">
        <v>2151</v>
      </c>
      <c r="C1611" s="22" t="s">
        <v>60</v>
      </c>
      <c r="D1611" s="22" t="s">
        <v>2151</v>
      </c>
      <c r="E1611" s="22" t="s">
        <v>336</v>
      </c>
      <c r="F1611" s="6">
        <v>1</v>
      </c>
      <c r="G1611" s="22" t="s">
        <v>101</v>
      </c>
      <c r="H1611" s="5">
        <v>1478400</v>
      </c>
      <c r="I1611" s="22" t="s">
        <v>681</v>
      </c>
      <c r="J1611" s="5" t="s">
        <v>102</v>
      </c>
    </row>
    <row r="1612" spans="1:10">
      <c r="A1612" s="27" t="s">
        <v>1717</v>
      </c>
      <c r="B1612" s="12" t="s">
        <v>284</v>
      </c>
      <c r="C1612" s="4" t="s">
        <v>60</v>
      </c>
      <c r="D1612" s="3" t="s">
        <v>284</v>
      </c>
      <c r="E1612" s="4" t="s">
        <v>578</v>
      </c>
      <c r="F1612" s="4" t="s">
        <v>578</v>
      </c>
      <c r="G1612" s="3" t="s">
        <v>578</v>
      </c>
      <c r="H1612" s="13">
        <f>SUM(H1613:H1631)</f>
        <v>78684036.698571429</v>
      </c>
      <c r="I1612" s="3" t="s">
        <v>578</v>
      </c>
      <c r="J1612" s="5" t="s">
        <v>102</v>
      </c>
    </row>
    <row r="1613" spans="1:10" ht="30">
      <c r="A1613" s="27" t="s">
        <v>1718</v>
      </c>
      <c r="B1613" s="3" t="s">
        <v>269</v>
      </c>
      <c r="C1613" s="3" t="s">
        <v>60</v>
      </c>
      <c r="D1613" s="3" t="s">
        <v>44</v>
      </c>
      <c r="E1613" s="3" t="s">
        <v>336</v>
      </c>
      <c r="F1613" s="6">
        <v>1</v>
      </c>
      <c r="G1613" s="3" t="s">
        <v>125</v>
      </c>
      <c r="H1613" s="5">
        <v>958023.36</v>
      </c>
      <c r="I1613" s="22" t="s">
        <v>681</v>
      </c>
      <c r="J1613" s="5" t="s">
        <v>102</v>
      </c>
    </row>
    <row r="1614" spans="1:10" ht="30">
      <c r="A1614" s="27" t="s">
        <v>1719</v>
      </c>
      <c r="B1614" s="3" t="s">
        <v>45</v>
      </c>
      <c r="C1614" s="3" t="s">
        <v>60</v>
      </c>
      <c r="D1614" s="3" t="s">
        <v>45</v>
      </c>
      <c r="E1614" s="3" t="s">
        <v>336</v>
      </c>
      <c r="F1614" s="6">
        <v>1</v>
      </c>
      <c r="G1614" s="22" t="s">
        <v>125</v>
      </c>
      <c r="H1614" s="5">
        <v>1526400</v>
      </c>
      <c r="I1614" s="22" t="s">
        <v>681</v>
      </c>
      <c r="J1614" s="5" t="s">
        <v>102</v>
      </c>
    </row>
    <row r="1615" spans="1:10" ht="30">
      <c r="A1615" s="27" t="s">
        <v>1720</v>
      </c>
      <c r="B1615" s="3" t="s">
        <v>39</v>
      </c>
      <c r="C1615" s="3" t="s">
        <v>60</v>
      </c>
      <c r="D1615" s="3" t="s">
        <v>39</v>
      </c>
      <c r="E1615" s="3" t="s">
        <v>336</v>
      </c>
      <c r="F1615" s="6">
        <v>1</v>
      </c>
      <c r="G1615" s="22" t="s">
        <v>125</v>
      </c>
      <c r="H1615" s="5">
        <f>1766571.48+1308430</f>
        <v>3075001.48</v>
      </c>
      <c r="I1615" s="22" t="s">
        <v>681</v>
      </c>
      <c r="J1615" s="5" t="s">
        <v>102</v>
      </c>
    </row>
    <row r="1616" spans="1:10" ht="30">
      <c r="A1616" s="27" t="s">
        <v>1721</v>
      </c>
      <c r="B1616" s="3" t="s">
        <v>38</v>
      </c>
      <c r="C1616" s="3" t="s">
        <v>60</v>
      </c>
      <c r="D1616" s="3" t="s">
        <v>38</v>
      </c>
      <c r="E1616" s="3" t="s">
        <v>336</v>
      </c>
      <c r="F1616" s="6">
        <v>1</v>
      </c>
      <c r="G1616" s="22" t="s">
        <v>125</v>
      </c>
      <c r="H1616" s="5">
        <v>36500</v>
      </c>
      <c r="I1616" s="22" t="s">
        <v>681</v>
      </c>
      <c r="J1616" s="5" t="s">
        <v>102</v>
      </c>
    </row>
    <row r="1617" spans="1:10" ht="30">
      <c r="A1617" s="27" t="s">
        <v>1722</v>
      </c>
      <c r="B1617" s="3" t="s">
        <v>46</v>
      </c>
      <c r="C1617" s="3" t="s">
        <v>60</v>
      </c>
      <c r="D1617" s="3" t="s">
        <v>46</v>
      </c>
      <c r="E1617" s="3" t="s">
        <v>336</v>
      </c>
      <c r="F1617" s="6">
        <v>1</v>
      </c>
      <c r="G1617" s="22" t="s">
        <v>125</v>
      </c>
      <c r="H1617" s="5">
        <v>175500</v>
      </c>
      <c r="I1617" s="22" t="s">
        <v>681</v>
      </c>
      <c r="J1617" s="5" t="s">
        <v>102</v>
      </c>
    </row>
    <row r="1618" spans="1:10" ht="30">
      <c r="A1618" s="27" t="s">
        <v>1723</v>
      </c>
      <c r="B1618" s="3" t="s">
        <v>47</v>
      </c>
      <c r="C1618" s="3" t="s">
        <v>60</v>
      </c>
      <c r="D1618" s="3" t="s">
        <v>47</v>
      </c>
      <c r="E1618" s="3" t="s">
        <v>336</v>
      </c>
      <c r="F1618" s="6">
        <v>1</v>
      </c>
      <c r="G1618" s="22" t="s">
        <v>125</v>
      </c>
      <c r="H1618" s="5">
        <f>8660400-1308430</f>
        <v>7351970</v>
      </c>
      <c r="I1618" s="22" t="s">
        <v>681</v>
      </c>
      <c r="J1618" s="5" t="s">
        <v>102</v>
      </c>
    </row>
    <row r="1619" spans="1:10" ht="30">
      <c r="A1619" s="27" t="s">
        <v>1724</v>
      </c>
      <c r="B1619" s="3" t="s">
        <v>48</v>
      </c>
      <c r="C1619" s="3" t="s">
        <v>60</v>
      </c>
      <c r="D1619" s="3" t="s">
        <v>48</v>
      </c>
      <c r="E1619" s="3" t="s">
        <v>336</v>
      </c>
      <c r="F1619" s="6">
        <v>1</v>
      </c>
      <c r="G1619" s="22" t="s">
        <v>125</v>
      </c>
      <c r="H1619" s="5">
        <v>842400</v>
      </c>
      <c r="I1619" s="22" t="s">
        <v>681</v>
      </c>
      <c r="J1619" s="5" t="s">
        <v>102</v>
      </c>
    </row>
    <row r="1620" spans="1:10" ht="30">
      <c r="A1620" s="27" t="s">
        <v>1725</v>
      </c>
      <c r="B1620" s="3" t="s">
        <v>286</v>
      </c>
      <c r="C1620" s="3" t="s">
        <v>60</v>
      </c>
      <c r="D1620" s="3" t="s">
        <v>286</v>
      </c>
      <c r="E1620" s="3" t="s">
        <v>336</v>
      </c>
      <c r="F1620" s="6">
        <v>1</v>
      </c>
      <c r="G1620" s="22" t="s">
        <v>125</v>
      </c>
      <c r="H1620" s="5">
        <v>191900</v>
      </c>
      <c r="I1620" s="22" t="s">
        <v>681</v>
      </c>
      <c r="J1620" s="5" t="s">
        <v>102</v>
      </c>
    </row>
    <row r="1621" spans="1:10" ht="30">
      <c r="A1621" s="27" t="s">
        <v>1726</v>
      </c>
      <c r="B1621" s="3" t="s">
        <v>49</v>
      </c>
      <c r="C1621" s="3" t="s">
        <v>60</v>
      </c>
      <c r="D1621" s="3" t="s">
        <v>49</v>
      </c>
      <c r="E1621" s="3" t="s">
        <v>336</v>
      </c>
      <c r="F1621" s="6">
        <v>1</v>
      </c>
      <c r="G1621" s="22" t="s">
        <v>125</v>
      </c>
      <c r="H1621" s="5">
        <v>307000</v>
      </c>
      <c r="I1621" s="22" t="s">
        <v>681</v>
      </c>
      <c r="J1621" s="5" t="s">
        <v>102</v>
      </c>
    </row>
    <row r="1622" spans="1:10" ht="45">
      <c r="A1622" s="27" t="s">
        <v>1727</v>
      </c>
      <c r="B1622" s="3" t="s">
        <v>50</v>
      </c>
      <c r="C1622" s="3" t="s">
        <v>60</v>
      </c>
      <c r="D1622" s="3" t="s">
        <v>50</v>
      </c>
      <c r="E1622" s="3" t="s">
        <v>336</v>
      </c>
      <c r="F1622" s="6">
        <v>1</v>
      </c>
      <c r="G1622" s="22" t="s">
        <v>125</v>
      </c>
      <c r="H1622" s="5">
        <v>1051368</v>
      </c>
      <c r="I1622" s="22" t="s">
        <v>681</v>
      </c>
      <c r="J1622" s="5" t="s">
        <v>102</v>
      </c>
    </row>
    <row r="1623" spans="1:10" ht="30">
      <c r="A1623" s="27" t="s">
        <v>1728</v>
      </c>
      <c r="B1623" s="3" t="s">
        <v>287</v>
      </c>
      <c r="C1623" s="3" t="s">
        <v>60</v>
      </c>
      <c r="D1623" s="3" t="s">
        <v>287</v>
      </c>
      <c r="E1623" s="3" t="s">
        <v>336</v>
      </c>
      <c r="F1623" s="6">
        <v>1</v>
      </c>
      <c r="G1623" s="22" t="s">
        <v>125</v>
      </c>
      <c r="H1623" s="5">
        <v>141900</v>
      </c>
      <c r="I1623" s="22" t="s">
        <v>681</v>
      </c>
      <c r="J1623" s="5" t="s">
        <v>102</v>
      </c>
    </row>
    <row r="1624" spans="1:10" ht="30">
      <c r="A1624" s="27" t="s">
        <v>1729</v>
      </c>
      <c r="B1624" s="3" t="s">
        <v>288</v>
      </c>
      <c r="C1624" s="3" t="s">
        <v>60</v>
      </c>
      <c r="D1624" s="3" t="s">
        <v>288</v>
      </c>
      <c r="E1624" s="3" t="s">
        <v>336</v>
      </c>
      <c r="F1624" s="6">
        <v>1</v>
      </c>
      <c r="G1624" s="22" t="s">
        <v>125</v>
      </c>
      <c r="H1624" s="5">
        <v>23649.999999999996</v>
      </c>
      <c r="I1624" s="22" t="s">
        <v>681</v>
      </c>
      <c r="J1624" s="5" t="s">
        <v>102</v>
      </c>
    </row>
    <row r="1625" spans="1:10" ht="30">
      <c r="A1625" s="27" t="s">
        <v>1730</v>
      </c>
      <c r="B1625" s="3" t="s">
        <v>289</v>
      </c>
      <c r="C1625" s="3" t="s">
        <v>60</v>
      </c>
      <c r="D1625" s="3" t="s">
        <v>289</v>
      </c>
      <c r="E1625" s="3" t="s">
        <v>336</v>
      </c>
      <c r="F1625" s="6">
        <v>1</v>
      </c>
      <c r="G1625" s="22" t="s">
        <v>125</v>
      </c>
      <c r="H1625" s="5">
        <v>19999.999999999996</v>
      </c>
      <c r="I1625" s="22" t="s">
        <v>681</v>
      </c>
      <c r="J1625" s="5" t="s">
        <v>102</v>
      </c>
    </row>
    <row r="1626" spans="1:10" ht="45">
      <c r="A1626" s="27" t="s">
        <v>1731</v>
      </c>
      <c r="B1626" s="22" t="s">
        <v>853</v>
      </c>
      <c r="C1626" s="3" t="s">
        <v>60</v>
      </c>
      <c r="D1626" s="22" t="s">
        <v>853</v>
      </c>
      <c r="E1626" s="3" t="s">
        <v>336</v>
      </c>
      <c r="F1626" s="6">
        <v>1</v>
      </c>
      <c r="G1626" s="22" t="s">
        <v>125</v>
      </c>
      <c r="H1626" s="5">
        <v>32146.178571428569</v>
      </c>
      <c r="I1626" s="22" t="s">
        <v>681</v>
      </c>
      <c r="J1626" s="5" t="s">
        <v>102</v>
      </c>
    </row>
    <row r="1627" spans="1:10" ht="105">
      <c r="A1627" s="27" t="s">
        <v>1732</v>
      </c>
      <c r="B1627" s="3" t="s">
        <v>854</v>
      </c>
      <c r="C1627" s="3" t="s">
        <v>60</v>
      </c>
      <c r="D1627" s="22" t="s">
        <v>854</v>
      </c>
      <c r="E1627" s="3" t="s">
        <v>336</v>
      </c>
      <c r="F1627" s="6">
        <v>1</v>
      </c>
      <c r="G1627" s="22" t="s">
        <v>125</v>
      </c>
      <c r="H1627" s="5">
        <v>12533227.18</v>
      </c>
      <c r="I1627" s="22" t="s">
        <v>681</v>
      </c>
      <c r="J1627" s="5" t="s">
        <v>102</v>
      </c>
    </row>
    <row r="1628" spans="1:10" ht="90">
      <c r="A1628" s="27" t="s">
        <v>1733</v>
      </c>
      <c r="B1628" s="3" t="s">
        <v>855</v>
      </c>
      <c r="C1628" s="3" t="s">
        <v>60</v>
      </c>
      <c r="D1628" s="3" t="s">
        <v>855</v>
      </c>
      <c r="E1628" s="3" t="s">
        <v>336</v>
      </c>
      <c r="F1628" s="6">
        <v>1</v>
      </c>
      <c r="G1628" s="22" t="s">
        <v>125</v>
      </c>
      <c r="H1628" s="5">
        <v>28708992</v>
      </c>
      <c r="I1628" s="22" t="s">
        <v>681</v>
      </c>
      <c r="J1628" s="5" t="s">
        <v>102</v>
      </c>
    </row>
    <row r="1629" spans="1:10" ht="90">
      <c r="A1629" s="27" t="s">
        <v>1734</v>
      </c>
      <c r="B1629" s="3" t="s">
        <v>856</v>
      </c>
      <c r="C1629" s="3" t="s">
        <v>60</v>
      </c>
      <c r="D1629" s="3" t="s">
        <v>856</v>
      </c>
      <c r="E1629" s="3" t="s">
        <v>336</v>
      </c>
      <c r="F1629" s="6">
        <v>1</v>
      </c>
      <c r="G1629" s="22" t="s">
        <v>125</v>
      </c>
      <c r="H1629" s="5">
        <v>8833536</v>
      </c>
      <c r="I1629" s="22" t="s">
        <v>681</v>
      </c>
      <c r="J1629" s="5" t="s">
        <v>102</v>
      </c>
    </row>
    <row r="1630" spans="1:10" ht="90">
      <c r="A1630" s="27" t="s">
        <v>1735</v>
      </c>
      <c r="B1630" s="3" t="s">
        <v>857</v>
      </c>
      <c r="C1630" s="3" t="s">
        <v>60</v>
      </c>
      <c r="D1630" s="3" t="s">
        <v>857</v>
      </c>
      <c r="E1630" s="3" t="s">
        <v>336</v>
      </c>
      <c r="F1630" s="6">
        <v>1</v>
      </c>
      <c r="G1630" s="22" t="s">
        <v>125</v>
      </c>
      <c r="H1630" s="5">
        <v>1368576</v>
      </c>
      <c r="I1630" s="22" t="s">
        <v>681</v>
      </c>
      <c r="J1630" s="5" t="s">
        <v>102</v>
      </c>
    </row>
    <row r="1631" spans="1:10" ht="75">
      <c r="A1631" s="27" t="s">
        <v>1736</v>
      </c>
      <c r="B1631" s="3" t="s">
        <v>858</v>
      </c>
      <c r="C1631" s="3" t="s">
        <v>60</v>
      </c>
      <c r="D1631" s="3" t="s">
        <v>858</v>
      </c>
      <c r="E1631" s="3" t="s">
        <v>336</v>
      </c>
      <c r="F1631" s="6">
        <v>1</v>
      </c>
      <c r="G1631" s="22" t="s">
        <v>125</v>
      </c>
      <c r="H1631" s="5">
        <v>11505946.499999998</v>
      </c>
      <c r="I1631" s="22" t="s">
        <v>681</v>
      </c>
      <c r="J1631" s="5" t="s">
        <v>102</v>
      </c>
    </row>
    <row r="1632" spans="1:10">
      <c r="A1632" s="27" t="s">
        <v>483</v>
      </c>
      <c r="B1632" s="12" t="s">
        <v>340</v>
      </c>
      <c r="C1632" s="4" t="s">
        <v>60</v>
      </c>
      <c r="D1632" s="3" t="s">
        <v>340</v>
      </c>
      <c r="E1632" s="4" t="s">
        <v>578</v>
      </c>
      <c r="F1632" s="4" t="s">
        <v>578</v>
      </c>
      <c r="G1632" s="4" t="s">
        <v>101</v>
      </c>
      <c r="H1632" s="13">
        <f>H1633+H1634</f>
        <v>9028715</v>
      </c>
      <c r="I1632" s="3" t="s">
        <v>578</v>
      </c>
      <c r="J1632" s="5" t="s">
        <v>102</v>
      </c>
    </row>
    <row r="1633" spans="1:10" ht="30">
      <c r="A1633" s="27" t="s">
        <v>484</v>
      </c>
      <c r="B1633" s="3" t="s">
        <v>290</v>
      </c>
      <c r="C1633" s="3" t="s">
        <v>60</v>
      </c>
      <c r="D1633" s="3" t="s">
        <v>290</v>
      </c>
      <c r="E1633" s="3" t="s">
        <v>336</v>
      </c>
      <c r="F1633" s="6">
        <v>1</v>
      </c>
      <c r="G1633" s="6" t="s">
        <v>101</v>
      </c>
      <c r="H1633" s="5">
        <f>894241.07+1156178.57</f>
        <v>2050419.6400000001</v>
      </c>
      <c r="I1633" s="22" t="s">
        <v>681</v>
      </c>
      <c r="J1633" s="5" t="s">
        <v>102</v>
      </c>
    </row>
    <row r="1634" spans="1:10" ht="30">
      <c r="A1634" s="27" t="s">
        <v>485</v>
      </c>
      <c r="B1634" s="3" t="s">
        <v>294</v>
      </c>
      <c r="C1634" s="3" t="s">
        <v>60</v>
      </c>
      <c r="D1634" s="3" t="s">
        <v>294</v>
      </c>
      <c r="E1634" s="3" t="s">
        <v>336</v>
      </c>
      <c r="F1634" s="6">
        <v>1</v>
      </c>
      <c r="G1634" s="6" t="s">
        <v>101</v>
      </c>
      <c r="H1634" s="5">
        <f>4316035.93+2662259.43</f>
        <v>6978295.3599999994</v>
      </c>
      <c r="I1634" s="22" t="s">
        <v>681</v>
      </c>
      <c r="J1634" s="5" t="s">
        <v>102</v>
      </c>
    </row>
    <row r="1635" spans="1:10">
      <c r="A1635" s="27" t="s">
        <v>1737</v>
      </c>
      <c r="B1635" s="12" t="s">
        <v>293</v>
      </c>
      <c r="C1635" s="22" t="s">
        <v>60</v>
      </c>
      <c r="D1635" s="3" t="s">
        <v>293</v>
      </c>
      <c r="E1635" s="4" t="s">
        <v>578</v>
      </c>
      <c r="F1635" s="4" t="s">
        <v>578</v>
      </c>
      <c r="G1635" s="3" t="s">
        <v>125</v>
      </c>
      <c r="H1635" s="13">
        <f>SUM(H1636:H1666)</f>
        <v>8756741.071428569</v>
      </c>
      <c r="I1635" s="3" t="s">
        <v>578</v>
      </c>
      <c r="J1635" s="5" t="s">
        <v>102</v>
      </c>
    </row>
    <row r="1636" spans="1:10" ht="30">
      <c r="A1636" s="27" t="s">
        <v>486</v>
      </c>
      <c r="B1636" s="3" t="s">
        <v>290</v>
      </c>
      <c r="C1636" s="3" t="s">
        <v>60</v>
      </c>
      <c r="D1636" s="3" t="s">
        <v>290</v>
      </c>
      <c r="E1636" s="3" t="s">
        <v>336</v>
      </c>
      <c r="F1636" s="6">
        <v>1</v>
      </c>
      <c r="G1636" s="6" t="s">
        <v>211</v>
      </c>
      <c r="H1636" s="5">
        <v>167410.71428571426</v>
      </c>
      <c r="I1636" s="22" t="s">
        <v>681</v>
      </c>
      <c r="J1636" s="5" t="s">
        <v>102</v>
      </c>
    </row>
    <row r="1637" spans="1:10" ht="30">
      <c r="A1637" s="27" t="s">
        <v>487</v>
      </c>
      <c r="B1637" s="3" t="s">
        <v>290</v>
      </c>
      <c r="C1637" s="3" t="s">
        <v>60</v>
      </c>
      <c r="D1637" s="3" t="s">
        <v>290</v>
      </c>
      <c r="E1637" s="3" t="s">
        <v>336</v>
      </c>
      <c r="F1637" s="6">
        <v>1</v>
      </c>
      <c r="G1637" s="6" t="s">
        <v>291</v>
      </c>
      <c r="H1637" s="5">
        <v>102678.57142857142</v>
      </c>
      <c r="I1637" s="22" t="s">
        <v>681</v>
      </c>
      <c r="J1637" s="5" t="s">
        <v>102</v>
      </c>
    </row>
    <row r="1638" spans="1:10" ht="30">
      <c r="A1638" s="27" t="s">
        <v>488</v>
      </c>
      <c r="B1638" s="3" t="s">
        <v>290</v>
      </c>
      <c r="C1638" s="3" t="s">
        <v>60</v>
      </c>
      <c r="D1638" s="3" t="s">
        <v>290</v>
      </c>
      <c r="E1638" s="3" t="s">
        <v>336</v>
      </c>
      <c r="F1638" s="6">
        <v>1</v>
      </c>
      <c r="G1638" s="6" t="s">
        <v>216</v>
      </c>
      <c r="H1638" s="5">
        <v>410714.28571428568</v>
      </c>
      <c r="I1638" s="22" t="s">
        <v>681</v>
      </c>
      <c r="J1638" s="5" t="s">
        <v>102</v>
      </c>
    </row>
    <row r="1639" spans="1:10" ht="30">
      <c r="A1639" s="27" t="s">
        <v>489</v>
      </c>
      <c r="B1639" s="3" t="s">
        <v>290</v>
      </c>
      <c r="C1639" s="3" t="s">
        <v>60</v>
      </c>
      <c r="D1639" s="3" t="s">
        <v>290</v>
      </c>
      <c r="E1639" s="3" t="s">
        <v>336</v>
      </c>
      <c r="F1639" s="6">
        <v>1</v>
      </c>
      <c r="G1639" s="6" t="s">
        <v>217</v>
      </c>
      <c r="H1639" s="5">
        <v>265178.57142857142</v>
      </c>
      <c r="I1639" s="22" t="s">
        <v>681</v>
      </c>
      <c r="J1639" s="5" t="s">
        <v>102</v>
      </c>
    </row>
    <row r="1640" spans="1:10" ht="30">
      <c r="A1640" s="27" t="s">
        <v>490</v>
      </c>
      <c r="B1640" s="3" t="s">
        <v>290</v>
      </c>
      <c r="C1640" s="3" t="s">
        <v>60</v>
      </c>
      <c r="D1640" s="3" t="s">
        <v>290</v>
      </c>
      <c r="E1640" s="3" t="s">
        <v>336</v>
      </c>
      <c r="F1640" s="6">
        <v>1</v>
      </c>
      <c r="G1640" s="6" t="s">
        <v>218</v>
      </c>
      <c r="H1640" s="5">
        <v>267857.14285714284</v>
      </c>
      <c r="I1640" s="22" t="s">
        <v>681</v>
      </c>
      <c r="J1640" s="5" t="s">
        <v>102</v>
      </c>
    </row>
    <row r="1641" spans="1:10" ht="30">
      <c r="A1641" s="27" t="s">
        <v>491</v>
      </c>
      <c r="B1641" s="3" t="s">
        <v>290</v>
      </c>
      <c r="C1641" s="3" t="s">
        <v>60</v>
      </c>
      <c r="D1641" s="3" t="s">
        <v>290</v>
      </c>
      <c r="E1641" s="3" t="s">
        <v>336</v>
      </c>
      <c r="F1641" s="6">
        <v>1</v>
      </c>
      <c r="G1641" s="6" t="s">
        <v>228</v>
      </c>
      <c r="H1641" s="5">
        <v>235714.28571428568</v>
      </c>
      <c r="I1641" s="22" t="s">
        <v>681</v>
      </c>
      <c r="J1641" s="5" t="s">
        <v>102</v>
      </c>
    </row>
    <row r="1642" spans="1:10" ht="30">
      <c r="A1642" s="27" t="s">
        <v>492</v>
      </c>
      <c r="B1642" s="3" t="s">
        <v>290</v>
      </c>
      <c r="C1642" s="3" t="s">
        <v>60</v>
      </c>
      <c r="D1642" s="3" t="s">
        <v>290</v>
      </c>
      <c r="E1642" s="3" t="s">
        <v>336</v>
      </c>
      <c r="F1642" s="6">
        <v>1</v>
      </c>
      <c r="G1642" s="6" t="s">
        <v>229</v>
      </c>
      <c r="H1642" s="5">
        <v>425892.8571428571</v>
      </c>
      <c r="I1642" s="22" t="s">
        <v>681</v>
      </c>
      <c r="J1642" s="5" t="s">
        <v>102</v>
      </c>
    </row>
    <row r="1643" spans="1:10" ht="30">
      <c r="A1643" s="27" t="s">
        <v>493</v>
      </c>
      <c r="B1643" s="3" t="s">
        <v>290</v>
      </c>
      <c r="C1643" s="3" t="s">
        <v>60</v>
      </c>
      <c r="D1643" s="3" t="s">
        <v>290</v>
      </c>
      <c r="E1643" s="3" t="s">
        <v>336</v>
      </c>
      <c r="F1643" s="6">
        <v>1</v>
      </c>
      <c r="G1643" s="6" t="s">
        <v>226</v>
      </c>
      <c r="H1643" s="5">
        <v>33482.142857142855</v>
      </c>
      <c r="I1643" s="22" t="s">
        <v>681</v>
      </c>
      <c r="J1643" s="5" t="s">
        <v>102</v>
      </c>
    </row>
    <row r="1644" spans="1:10" ht="30">
      <c r="A1644" s="27" t="s">
        <v>494</v>
      </c>
      <c r="B1644" s="3" t="s">
        <v>290</v>
      </c>
      <c r="C1644" s="3" t="s">
        <v>60</v>
      </c>
      <c r="D1644" s="3" t="s">
        <v>290</v>
      </c>
      <c r="E1644" s="3" t="s">
        <v>336</v>
      </c>
      <c r="F1644" s="6">
        <v>1</v>
      </c>
      <c r="G1644" s="6" t="s">
        <v>292</v>
      </c>
      <c r="H1644" s="5">
        <v>1687499.9999999998</v>
      </c>
      <c r="I1644" s="22" t="s">
        <v>681</v>
      </c>
      <c r="J1644" s="5" t="s">
        <v>102</v>
      </c>
    </row>
    <row r="1645" spans="1:10" ht="30">
      <c r="A1645" s="27" t="s">
        <v>495</v>
      </c>
      <c r="B1645" s="3" t="s">
        <v>290</v>
      </c>
      <c r="C1645" s="3" t="s">
        <v>60</v>
      </c>
      <c r="D1645" s="3" t="s">
        <v>290</v>
      </c>
      <c r="E1645" s="3" t="s">
        <v>336</v>
      </c>
      <c r="F1645" s="6">
        <v>1</v>
      </c>
      <c r="G1645" s="6" t="s">
        <v>225</v>
      </c>
      <c r="H1645" s="5">
        <v>224999.99999999997</v>
      </c>
      <c r="I1645" s="22" t="s">
        <v>681</v>
      </c>
      <c r="J1645" s="5" t="s">
        <v>102</v>
      </c>
    </row>
    <row r="1646" spans="1:10" ht="30">
      <c r="A1646" s="27" t="s">
        <v>496</v>
      </c>
      <c r="B1646" s="3" t="s">
        <v>290</v>
      </c>
      <c r="C1646" s="3" t="s">
        <v>60</v>
      </c>
      <c r="D1646" s="3" t="s">
        <v>290</v>
      </c>
      <c r="E1646" s="3" t="s">
        <v>336</v>
      </c>
      <c r="F1646" s="6">
        <v>1</v>
      </c>
      <c r="G1646" s="6" t="s">
        <v>223</v>
      </c>
      <c r="H1646" s="5">
        <v>156249.99999999997</v>
      </c>
      <c r="I1646" s="22" t="s">
        <v>681</v>
      </c>
      <c r="J1646" s="5" t="s">
        <v>102</v>
      </c>
    </row>
    <row r="1647" spans="1:10" ht="30">
      <c r="A1647" s="27" t="s">
        <v>497</v>
      </c>
      <c r="B1647" s="3" t="s">
        <v>290</v>
      </c>
      <c r="C1647" s="3" t="s">
        <v>60</v>
      </c>
      <c r="D1647" s="3" t="s">
        <v>290</v>
      </c>
      <c r="E1647" s="3" t="s">
        <v>336</v>
      </c>
      <c r="F1647" s="6">
        <v>1</v>
      </c>
      <c r="G1647" s="6" t="s">
        <v>252</v>
      </c>
      <c r="H1647" s="5">
        <v>30535.714285714283</v>
      </c>
      <c r="I1647" s="22" t="s">
        <v>681</v>
      </c>
      <c r="J1647" s="5" t="s">
        <v>102</v>
      </c>
    </row>
    <row r="1648" spans="1:10" ht="30">
      <c r="A1648" s="27" t="s">
        <v>498</v>
      </c>
      <c r="B1648" s="3" t="s">
        <v>290</v>
      </c>
      <c r="C1648" s="3" t="s">
        <v>60</v>
      </c>
      <c r="D1648" s="3" t="s">
        <v>290</v>
      </c>
      <c r="E1648" s="3" t="s">
        <v>336</v>
      </c>
      <c r="F1648" s="6">
        <v>1</v>
      </c>
      <c r="G1648" s="6" t="s">
        <v>251</v>
      </c>
      <c r="H1648" s="5">
        <v>127232.14285714284</v>
      </c>
      <c r="I1648" s="22" t="s">
        <v>681</v>
      </c>
      <c r="J1648" s="5" t="s">
        <v>102</v>
      </c>
    </row>
    <row r="1649" spans="1:10" ht="30">
      <c r="A1649" s="27" t="s">
        <v>499</v>
      </c>
      <c r="B1649" s="3" t="s">
        <v>290</v>
      </c>
      <c r="C1649" s="3" t="s">
        <v>60</v>
      </c>
      <c r="D1649" s="3" t="s">
        <v>290</v>
      </c>
      <c r="E1649" s="3" t="s">
        <v>336</v>
      </c>
      <c r="F1649" s="6">
        <v>1</v>
      </c>
      <c r="G1649" s="6" t="s">
        <v>232</v>
      </c>
      <c r="H1649" s="5">
        <v>224999.99999999997</v>
      </c>
      <c r="I1649" s="22" t="s">
        <v>681</v>
      </c>
      <c r="J1649" s="5" t="s">
        <v>102</v>
      </c>
    </row>
    <row r="1650" spans="1:10" ht="30">
      <c r="A1650" s="27" t="s">
        <v>500</v>
      </c>
      <c r="B1650" s="22" t="s">
        <v>290</v>
      </c>
      <c r="C1650" s="22" t="s">
        <v>60</v>
      </c>
      <c r="D1650" s="22" t="s">
        <v>290</v>
      </c>
      <c r="E1650" s="22" t="s">
        <v>336</v>
      </c>
      <c r="F1650" s="6">
        <v>1</v>
      </c>
      <c r="G1650" s="6" t="s">
        <v>230</v>
      </c>
      <c r="H1650" s="5">
        <v>200892.85714285713</v>
      </c>
      <c r="I1650" s="22" t="s">
        <v>681</v>
      </c>
      <c r="J1650" s="5"/>
    </row>
    <row r="1651" spans="1:10" ht="30">
      <c r="A1651" s="27" t="s">
        <v>501</v>
      </c>
      <c r="B1651" s="3" t="s">
        <v>294</v>
      </c>
      <c r="C1651" s="3" t="s">
        <v>60</v>
      </c>
      <c r="D1651" s="3" t="s">
        <v>294</v>
      </c>
      <c r="E1651" s="3" t="s">
        <v>336</v>
      </c>
      <c r="F1651" s="6">
        <v>1</v>
      </c>
      <c r="G1651" s="6" t="s">
        <v>211</v>
      </c>
      <c r="H1651" s="5">
        <v>85714.28571428571</v>
      </c>
      <c r="I1651" s="22" t="s">
        <v>681</v>
      </c>
      <c r="J1651" s="5" t="s">
        <v>102</v>
      </c>
    </row>
    <row r="1652" spans="1:10" ht="30">
      <c r="A1652" s="27" t="s">
        <v>502</v>
      </c>
      <c r="B1652" s="3" t="s">
        <v>294</v>
      </c>
      <c r="C1652" s="3" t="s">
        <v>60</v>
      </c>
      <c r="D1652" s="3" t="s">
        <v>294</v>
      </c>
      <c r="E1652" s="3" t="s">
        <v>336</v>
      </c>
      <c r="F1652" s="6">
        <v>1</v>
      </c>
      <c r="G1652" s="6" t="s">
        <v>291</v>
      </c>
      <c r="H1652" s="5">
        <v>535714.28571428568</v>
      </c>
      <c r="I1652" s="22" t="s">
        <v>681</v>
      </c>
      <c r="J1652" s="5" t="s">
        <v>102</v>
      </c>
    </row>
    <row r="1653" spans="1:10" ht="30">
      <c r="A1653" s="27" t="s">
        <v>503</v>
      </c>
      <c r="B1653" s="3" t="s">
        <v>294</v>
      </c>
      <c r="C1653" s="3" t="s">
        <v>60</v>
      </c>
      <c r="D1653" s="3" t="s">
        <v>294</v>
      </c>
      <c r="E1653" s="3" t="s">
        <v>336</v>
      </c>
      <c r="F1653" s="6">
        <v>1</v>
      </c>
      <c r="G1653" s="6" t="s">
        <v>292</v>
      </c>
      <c r="H1653" s="5">
        <v>93303.57142857142</v>
      </c>
      <c r="I1653" s="22" t="s">
        <v>681</v>
      </c>
      <c r="J1653" s="5" t="s">
        <v>102</v>
      </c>
    </row>
    <row r="1654" spans="1:10" ht="30">
      <c r="A1654" s="27" t="s">
        <v>504</v>
      </c>
      <c r="B1654" s="3" t="s">
        <v>294</v>
      </c>
      <c r="C1654" s="3" t="s">
        <v>60</v>
      </c>
      <c r="D1654" s="3" t="s">
        <v>294</v>
      </c>
      <c r="E1654" s="3" t="s">
        <v>336</v>
      </c>
      <c r="F1654" s="6">
        <v>1</v>
      </c>
      <c r="G1654" s="6" t="s">
        <v>251</v>
      </c>
      <c r="H1654" s="5">
        <v>390535.71428571426</v>
      </c>
      <c r="I1654" s="22" t="s">
        <v>681</v>
      </c>
      <c r="J1654" s="5" t="s">
        <v>102</v>
      </c>
    </row>
    <row r="1655" spans="1:10" ht="30">
      <c r="A1655" s="27" t="s">
        <v>1738</v>
      </c>
      <c r="B1655" s="3" t="s">
        <v>294</v>
      </c>
      <c r="C1655" s="3" t="s">
        <v>60</v>
      </c>
      <c r="D1655" s="3" t="s">
        <v>294</v>
      </c>
      <c r="E1655" s="3" t="s">
        <v>336</v>
      </c>
      <c r="F1655" s="6">
        <v>1</v>
      </c>
      <c r="G1655" s="6" t="s">
        <v>221</v>
      </c>
      <c r="H1655" s="5">
        <v>616071.42857142852</v>
      </c>
      <c r="I1655" s="22" t="s">
        <v>681</v>
      </c>
      <c r="J1655" s="5" t="s">
        <v>102</v>
      </c>
    </row>
    <row r="1656" spans="1:10" ht="30">
      <c r="A1656" s="27" t="s">
        <v>1739</v>
      </c>
      <c r="B1656" s="3" t="s">
        <v>294</v>
      </c>
      <c r="C1656" s="3" t="s">
        <v>60</v>
      </c>
      <c r="D1656" s="3" t="s">
        <v>294</v>
      </c>
      <c r="E1656" s="3" t="s">
        <v>336</v>
      </c>
      <c r="F1656" s="6">
        <v>1</v>
      </c>
      <c r="G1656" s="6" t="s">
        <v>252</v>
      </c>
      <c r="H1656" s="5">
        <v>265178.57142857142</v>
      </c>
      <c r="I1656" s="22" t="s">
        <v>681</v>
      </c>
      <c r="J1656" s="5" t="s">
        <v>102</v>
      </c>
    </row>
    <row r="1657" spans="1:10" ht="30">
      <c r="A1657" s="27" t="s">
        <v>1740</v>
      </c>
      <c r="B1657" s="3" t="s">
        <v>294</v>
      </c>
      <c r="C1657" s="3" t="s">
        <v>60</v>
      </c>
      <c r="D1657" s="3" t="s">
        <v>294</v>
      </c>
      <c r="E1657" s="3" t="s">
        <v>336</v>
      </c>
      <c r="F1657" s="6">
        <v>1</v>
      </c>
      <c r="G1657" s="6" t="s">
        <v>295</v>
      </c>
      <c r="H1657" s="5">
        <v>624999.99999999988</v>
      </c>
      <c r="I1657" s="22" t="s">
        <v>681</v>
      </c>
      <c r="J1657" s="5" t="s">
        <v>102</v>
      </c>
    </row>
    <row r="1658" spans="1:10" ht="30">
      <c r="A1658" s="27" t="s">
        <v>1741</v>
      </c>
      <c r="B1658" s="3" t="s">
        <v>294</v>
      </c>
      <c r="C1658" s="3" t="s">
        <v>60</v>
      </c>
      <c r="D1658" s="3" t="s">
        <v>294</v>
      </c>
      <c r="E1658" s="3" t="s">
        <v>336</v>
      </c>
      <c r="F1658" s="6">
        <v>1</v>
      </c>
      <c r="G1658" s="6" t="s">
        <v>253</v>
      </c>
      <c r="H1658" s="5">
        <v>214598.21428571426</v>
      </c>
      <c r="I1658" s="22" t="s">
        <v>681</v>
      </c>
      <c r="J1658" s="5" t="s">
        <v>102</v>
      </c>
    </row>
    <row r="1659" spans="1:10" ht="30">
      <c r="A1659" s="27" t="s">
        <v>1742</v>
      </c>
      <c r="B1659" s="3" t="s">
        <v>294</v>
      </c>
      <c r="C1659" s="3" t="s">
        <v>60</v>
      </c>
      <c r="D1659" s="3" t="s">
        <v>294</v>
      </c>
      <c r="E1659" s="3" t="s">
        <v>336</v>
      </c>
      <c r="F1659" s="6">
        <v>1</v>
      </c>
      <c r="G1659" s="6" t="s">
        <v>218</v>
      </c>
      <c r="H1659" s="5">
        <v>266071.42857142852</v>
      </c>
      <c r="I1659" s="22" t="s">
        <v>681</v>
      </c>
      <c r="J1659" s="5" t="s">
        <v>102</v>
      </c>
    </row>
    <row r="1660" spans="1:10" ht="30">
      <c r="A1660" s="27" t="s">
        <v>1743</v>
      </c>
      <c r="B1660" s="3" t="s">
        <v>294</v>
      </c>
      <c r="C1660" s="3" t="s">
        <v>60</v>
      </c>
      <c r="D1660" s="3" t="s">
        <v>294</v>
      </c>
      <c r="E1660" s="3" t="s">
        <v>336</v>
      </c>
      <c r="F1660" s="6">
        <v>1</v>
      </c>
      <c r="G1660" s="6" t="s">
        <v>225</v>
      </c>
      <c r="H1660" s="5">
        <v>160714.28571428571</v>
      </c>
      <c r="I1660" s="22" t="s">
        <v>681</v>
      </c>
      <c r="J1660" s="5" t="s">
        <v>102</v>
      </c>
    </row>
    <row r="1661" spans="1:10" ht="30">
      <c r="A1661" s="27" t="s">
        <v>1744</v>
      </c>
      <c r="B1661" s="3" t="s">
        <v>294</v>
      </c>
      <c r="C1661" s="3" t="s">
        <v>60</v>
      </c>
      <c r="D1661" s="3" t="s">
        <v>294</v>
      </c>
      <c r="E1661" s="3" t="s">
        <v>336</v>
      </c>
      <c r="F1661" s="6">
        <v>1</v>
      </c>
      <c r="G1661" s="6" t="s">
        <v>226</v>
      </c>
      <c r="H1661" s="5">
        <v>208928.57142857142</v>
      </c>
      <c r="I1661" s="22" t="s">
        <v>681</v>
      </c>
      <c r="J1661" s="5" t="s">
        <v>102</v>
      </c>
    </row>
    <row r="1662" spans="1:10" ht="30">
      <c r="A1662" s="27" t="s">
        <v>1745</v>
      </c>
      <c r="B1662" s="3" t="s">
        <v>294</v>
      </c>
      <c r="C1662" s="3" t="s">
        <v>60</v>
      </c>
      <c r="D1662" s="3" t="s">
        <v>294</v>
      </c>
      <c r="E1662" s="3" t="s">
        <v>336</v>
      </c>
      <c r="F1662" s="6">
        <v>1</v>
      </c>
      <c r="G1662" s="6" t="s">
        <v>227</v>
      </c>
      <c r="H1662" s="5">
        <v>166071.42857142855</v>
      </c>
      <c r="I1662" s="22" t="s">
        <v>681</v>
      </c>
      <c r="J1662" s="5" t="s">
        <v>102</v>
      </c>
    </row>
    <row r="1663" spans="1:10" ht="30">
      <c r="A1663" s="27" t="s">
        <v>1746</v>
      </c>
      <c r="B1663" s="3" t="s">
        <v>294</v>
      </c>
      <c r="C1663" s="3" t="s">
        <v>60</v>
      </c>
      <c r="D1663" s="3" t="s">
        <v>294</v>
      </c>
      <c r="E1663" s="3" t="s">
        <v>336</v>
      </c>
      <c r="F1663" s="6">
        <v>1</v>
      </c>
      <c r="G1663" s="6" t="s">
        <v>230</v>
      </c>
      <c r="H1663" s="5">
        <v>68839.28571428571</v>
      </c>
      <c r="I1663" s="22" t="s">
        <v>681</v>
      </c>
      <c r="J1663" s="5" t="s">
        <v>102</v>
      </c>
    </row>
    <row r="1664" spans="1:10" ht="30">
      <c r="A1664" s="27" t="s">
        <v>1747</v>
      </c>
      <c r="B1664" s="3" t="s">
        <v>294</v>
      </c>
      <c r="C1664" s="3" t="s">
        <v>60</v>
      </c>
      <c r="D1664" s="3" t="s">
        <v>294</v>
      </c>
      <c r="E1664" s="3" t="s">
        <v>336</v>
      </c>
      <c r="F1664" s="6">
        <v>1</v>
      </c>
      <c r="G1664" s="6" t="s">
        <v>254</v>
      </c>
      <c r="H1664" s="5">
        <v>40178.571428571428</v>
      </c>
      <c r="I1664" s="22" t="s">
        <v>681</v>
      </c>
      <c r="J1664" s="5" t="s">
        <v>102</v>
      </c>
    </row>
    <row r="1665" spans="1:10" ht="30">
      <c r="A1665" s="27" t="s">
        <v>1748</v>
      </c>
      <c r="B1665" s="3" t="s">
        <v>294</v>
      </c>
      <c r="C1665" s="3" t="s">
        <v>60</v>
      </c>
      <c r="D1665" s="3" t="s">
        <v>294</v>
      </c>
      <c r="E1665" s="3" t="s">
        <v>336</v>
      </c>
      <c r="F1665" s="6">
        <v>1</v>
      </c>
      <c r="G1665" s="6" t="s">
        <v>232</v>
      </c>
      <c r="H1665" s="5">
        <v>232142.85714285713</v>
      </c>
      <c r="I1665" s="22" t="s">
        <v>681</v>
      </c>
      <c r="J1665" s="5" t="s">
        <v>102</v>
      </c>
    </row>
    <row r="1666" spans="1:10" ht="30">
      <c r="A1666" s="27" t="s">
        <v>1749</v>
      </c>
      <c r="B1666" s="22" t="s">
        <v>294</v>
      </c>
      <c r="C1666" s="22" t="s">
        <v>60</v>
      </c>
      <c r="D1666" s="22" t="s">
        <v>294</v>
      </c>
      <c r="E1666" s="22" t="s">
        <v>336</v>
      </c>
      <c r="F1666" s="6">
        <v>1</v>
      </c>
      <c r="G1666" s="6" t="s">
        <v>862</v>
      </c>
      <c r="H1666" s="5">
        <v>226339.28571428568</v>
      </c>
      <c r="I1666" s="22" t="s">
        <v>681</v>
      </c>
      <c r="J1666" s="5" t="s">
        <v>102</v>
      </c>
    </row>
    <row r="1667" spans="1:10" ht="30">
      <c r="A1667" s="27" t="s">
        <v>505</v>
      </c>
      <c r="B1667" s="12" t="s">
        <v>296</v>
      </c>
      <c r="C1667" s="3" t="s">
        <v>60</v>
      </c>
      <c r="D1667" s="3" t="s">
        <v>296</v>
      </c>
      <c r="E1667" s="22" t="s">
        <v>336</v>
      </c>
      <c r="F1667" s="6">
        <v>1</v>
      </c>
      <c r="G1667" s="6" t="s">
        <v>297</v>
      </c>
      <c r="H1667" s="13">
        <f>324034</f>
        <v>324034</v>
      </c>
      <c r="I1667" s="22" t="s">
        <v>681</v>
      </c>
      <c r="J1667" s="5" t="s">
        <v>102</v>
      </c>
    </row>
    <row r="1668" spans="1:10">
      <c r="A1668" s="27" t="s">
        <v>506</v>
      </c>
      <c r="B1668" s="12" t="s">
        <v>328</v>
      </c>
      <c r="C1668" s="4" t="s">
        <v>578</v>
      </c>
      <c r="D1668" s="3" t="s">
        <v>328</v>
      </c>
      <c r="E1668" s="4" t="s">
        <v>578</v>
      </c>
      <c r="F1668" s="4" t="s">
        <v>578</v>
      </c>
      <c r="G1668" s="4" t="s">
        <v>101</v>
      </c>
      <c r="H1668" s="13">
        <f>SUM(H1669:H1675)</f>
        <v>285215666.13</v>
      </c>
      <c r="I1668" s="3" t="s">
        <v>578</v>
      </c>
      <c r="J1668" s="5" t="s">
        <v>102</v>
      </c>
    </row>
    <row r="1669" spans="1:10" ht="30">
      <c r="A1669" s="27" t="s">
        <v>507</v>
      </c>
      <c r="B1669" s="3" t="s">
        <v>5</v>
      </c>
      <c r="C1669" s="3" t="s">
        <v>58</v>
      </c>
      <c r="D1669" s="3" t="s">
        <v>814</v>
      </c>
      <c r="E1669" s="3" t="s">
        <v>179</v>
      </c>
      <c r="F1669" s="6">
        <f>870.3</f>
        <v>870.3</v>
      </c>
      <c r="G1669" s="4" t="s">
        <v>101</v>
      </c>
      <c r="H1669" s="5">
        <f>23894956.8-24382.14</f>
        <v>23870574.66</v>
      </c>
      <c r="I1669" s="22" t="s">
        <v>681</v>
      </c>
      <c r="J1669" s="5" t="s">
        <v>102</v>
      </c>
    </row>
    <row r="1670" spans="1:10" ht="30">
      <c r="A1670" s="27" t="s">
        <v>508</v>
      </c>
      <c r="B1670" s="3" t="s">
        <v>5</v>
      </c>
      <c r="C1670" s="3" t="s">
        <v>58</v>
      </c>
      <c r="D1670" s="22" t="s">
        <v>814</v>
      </c>
      <c r="E1670" s="3" t="s">
        <v>179</v>
      </c>
      <c r="F1670" s="6">
        <v>5569.8</v>
      </c>
      <c r="G1670" s="4" t="s">
        <v>101</v>
      </c>
      <c r="H1670" s="5">
        <v>152924428.80000001</v>
      </c>
      <c r="I1670" s="22" t="s">
        <v>681</v>
      </c>
      <c r="J1670" s="5" t="s">
        <v>102</v>
      </c>
    </row>
    <row r="1671" spans="1:10" ht="30">
      <c r="A1671" s="27" t="s">
        <v>509</v>
      </c>
      <c r="B1671" s="3" t="s">
        <v>5</v>
      </c>
      <c r="C1671" s="3" t="s">
        <v>58</v>
      </c>
      <c r="D1671" s="3" t="s">
        <v>299</v>
      </c>
      <c r="E1671" s="3" t="s">
        <v>179</v>
      </c>
      <c r="F1671" s="6">
        <v>522.20000000000005</v>
      </c>
      <c r="G1671" s="4" t="s">
        <v>101</v>
      </c>
      <c r="H1671" s="5">
        <f>25178395.2+1555169.93</f>
        <v>26733565.129999999</v>
      </c>
      <c r="I1671" s="22" t="s">
        <v>681</v>
      </c>
      <c r="J1671" s="5" t="s">
        <v>102</v>
      </c>
    </row>
    <row r="1672" spans="1:10" ht="30">
      <c r="A1672" s="27" t="s">
        <v>510</v>
      </c>
      <c r="B1672" s="3" t="s">
        <v>5</v>
      </c>
      <c r="C1672" s="3" t="s">
        <v>60</v>
      </c>
      <c r="D1672" s="3" t="s">
        <v>298</v>
      </c>
      <c r="E1672" s="3" t="s">
        <v>179</v>
      </c>
      <c r="F1672" s="6">
        <v>250.5</v>
      </c>
      <c r="G1672" s="4" t="s">
        <v>101</v>
      </c>
      <c r="H1672" s="5">
        <f>6877728+488953</f>
        <v>7366681</v>
      </c>
      <c r="I1672" s="22" t="s">
        <v>681</v>
      </c>
      <c r="J1672" s="5" t="s">
        <v>102</v>
      </c>
    </row>
    <row r="1673" spans="1:10" ht="30">
      <c r="A1673" s="27" t="s">
        <v>511</v>
      </c>
      <c r="B1673" s="3" t="s">
        <v>5</v>
      </c>
      <c r="C1673" s="3" t="s">
        <v>58</v>
      </c>
      <c r="D1673" s="3" t="s">
        <v>300</v>
      </c>
      <c r="E1673" s="3" t="s">
        <v>179</v>
      </c>
      <c r="F1673" s="6">
        <v>1030.2</v>
      </c>
      <c r="G1673" s="4" t="s">
        <v>101</v>
      </c>
      <c r="H1673" s="5">
        <v>49672123.200000003</v>
      </c>
      <c r="I1673" s="22" t="s">
        <v>681</v>
      </c>
      <c r="J1673" s="5" t="s">
        <v>102</v>
      </c>
    </row>
    <row r="1674" spans="1:10" ht="30">
      <c r="A1674" s="27" t="s">
        <v>512</v>
      </c>
      <c r="B1674" s="3" t="s">
        <v>5</v>
      </c>
      <c r="C1674" s="3" t="s">
        <v>58</v>
      </c>
      <c r="D1674" s="3" t="s">
        <v>301</v>
      </c>
      <c r="E1674" s="3" t="s">
        <v>179</v>
      </c>
      <c r="F1674" s="6">
        <v>290.75</v>
      </c>
      <c r="G1674" s="4" t="s">
        <v>101</v>
      </c>
      <c r="H1674" s="5">
        <v>24623911.199999999</v>
      </c>
      <c r="I1674" s="22" t="s">
        <v>681</v>
      </c>
      <c r="J1674" s="5" t="s">
        <v>102</v>
      </c>
    </row>
    <row r="1675" spans="1:10" ht="30">
      <c r="A1675" s="48" t="s">
        <v>3329</v>
      </c>
      <c r="B1675" s="22" t="s">
        <v>3330</v>
      </c>
      <c r="C1675" s="4" t="s">
        <v>60</v>
      </c>
      <c r="D1675" s="22" t="s">
        <v>3330</v>
      </c>
      <c r="E1675" s="22" t="s">
        <v>336</v>
      </c>
      <c r="F1675" s="6">
        <v>1</v>
      </c>
      <c r="G1675" s="4" t="s">
        <v>101</v>
      </c>
      <c r="H1675" s="5">
        <v>24382.14</v>
      </c>
      <c r="I1675" s="22" t="s">
        <v>679</v>
      </c>
      <c r="J1675" s="5" t="s">
        <v>102</v>
      </c>
    </row>
    <row r="1676" spans="1:10">
      <c r="A1676" s="27" t="s">
        <v>1750</v>
      </c>
      <c r="B1676" s="12" t="s">
        <v>302</v>
      </c>
      <c r="C1676" s="4" t="s">
        <v>60</v>
      </c>
      <c r="D1676" s="3" t="s">
        <v>302</v>
      </c>
      <c r="E1676" s="4" t="s">
        <v>578</v>
      </c>
      <c r="F1676" s="4" t="s">
        <v>578</v>
      </c>
      <c r="G1676" s="3" t="s">
        <v>125</v>
      </c>
      <c r="H1676" s="13">
        <f>SUM(H1677:H1715)</f>
        <v>28182635.969999999</v>
      </c>
      <c r="I1676" s="3" t="s">
        <v>578</v>
      </c>
      <c r="J1676" s="5" t="s">
        <v>102</v>
      </c>
    </row>
    <row r="1677" spans="1:10" ht="30">
      <c r="A1677" s="27" t="s">
        <v>513</v>
      </c>
      <c r="B1677" s="3" t="s">
        <v>5</v>
      </c>
      <c r="C1677" s="3" t="s">
        <v>60</v>
      </c>
      <c r="D1677" s="3" t="s">
        <v>303</v>
      </c>
      <c r="E1677" s="3" t="s">
        <v>179</v>
      </c>
      <c r="F1677" s="6">
        <v>23</v>
      </c>
      <c r="G1677" s="4" t="s">
        <v>101</v>
      </c>
      <c r="H1677" s="5">
        <f>590640+187152</f>
        <v>777792</v>
      </c>
      <c r="I1677" s="3" t="s">
        <v>681</v>
      </c>
      <c r="J1677" s="5" t="s">
        <v>102</v>
      </c>
    </row>
    <row r="1678" spans="1:10" ht="30">
      <c r="A1678" s="27" t="s">
        <v>1751</v>
      </c>
      <c r="B1678" s="22" t="s">
        <v>5</v>
      </c>
      <c r="C1678" s="22" t="s">
        <v>60</v>
      </c>
      <c r="D1678" s="22" t="s">
        <v>815</v>
      </c>
      <c r="E1678" s="22" t="s">
        <v>179</v>
      </c>
      <c r="F1678" s="6">
        <v>56.5</v>
      </c>
      <c r="G1678" s="4" t="s">
        <v>101</v>
      </c>
      <c r="H1678" s="5">
        <v>1450920</v>
      </c>
      <c r="I1678" s="22" t="s">
        <v>681</v>
      </c>
      <c r="J1678" s="5" t="s">
        <v>102</v>
      </c>
    </row>
    <row r="1679" spans="1:10" ht="30">
      <c r="A1679" s="27" t="s">
        <v>514</v>
      </c>
      <c r="B1679" s="22" t="s">
        <v>5</v>
      </c>
      <c r="C1679" s="22" t="s">
        <v>60</v>
      </c>
      <c r="D1679" s="22" t="s">
        <v>815</v>
      </c>
      <c r="E1679" s="22" t="s">
        <v>179</v>
      </c>
      <c r="F1679" s="6">
        <v>75</v>
      </c>
      <c r="G1679" s="4" t="s">
        <v>101</v>
      </c>
      <c r="H1679" s="5">
        <v>1926000</v>
      </c>
      <c r="I1679" s="22" t="s">
        <v>681</v>
      </c>
      <c r="J1679" s="5" t="s">
        <v>102</v>
      </c>
    </row>
    <row r="1680" spans="1:10" ht="30">
      <c r="A1680" s="27" t="s">
        <v>1752</v>
      </c>
      <c r="B1680" s="22" t="s">
        <v>5</v>
      </c>
      <c r="C1680" s="22" t="s">
        <v>60</v>
      </c>
      <c r="D1680" s="22" t="s">
        <v>815</v>
      </c>
      <c r="E1680" s="22" t="s">
        <v>179</v>
      </c>
      <c r="F1680" s="6">
        <v>119</v>
      </c>
      <c r="G1680" s="4" t="s">
        <v>101</v>
      </c>
      <c r="H1680" s="5">
        <v>3055920</v>
      </c>
      <c r="I1680" s="22" t="s">
        <v>681</v>
      </c>
      <c r="J1680" s="5" t="s">
        <v>102</v>
      </c>
    </row>
    <row r="1681" spans="1:10" ht="30">
      <c r="A1681" s="27" t="s">
        <v>1753</v>
      </c>
      <c r="B1681" s="22" t="s">
        <v>5</v>
      </c>
      <c r="C1681" s="22" t="s">
        <v>60</v>
      </c>
      <c r="D1681" s="22" t="s">
        <v>816</v>
      </c>
      <c r="E1681" s="22" t="s">
        <v>179</v>
      </c>
      <c r="F1681" s="6">
        <v>75</v>
      </c>
      <c r="G1681" s="4" t="s">
        <v>101</v>
      </c>
      <c r="H1681" s="5">
        <v>1926000</v>
      </c>
      <c r="I1681" s="22" t="s">
        <v>681</v>
      </c>
      <c r="J1681" s="5" t="s">
        <v>102</v>
      </c>
    </row>
    <row r="1682" spans="1:10" ht="30">
      <c r="A1682" s="27" t="s">
        <v>1754</v>
      </c>
      <c r="B1682" s="3" t="s">
        <v>5</v>
      </c>
      <c r="C1682" s="3" t="s">
        <v>60</v>
      </c>
      <c r="D1682" s="22" t="s">
        <v>51</v>
      </c>
      <c r="E1682" s="3" t="s">
        <v>179</v>
      </c>
      <c r="F1682" s="6">
        <v>43.75</v>
      </c>
      <c r="G1682" s="6" t="s">
        <v>304</v>
      </c>
      <c r="H1682" s="5">
        <f>960004.5-275286</f>
        <v>684718.5</v>
      </c>
      <c r="I1682" s="22" t="s">
        <v>681</v>
      </c>
      <c r="J1682" s="5" t="s">
        <v>102</v>
      </c>
    </row>
    <row r="1683" spans="1:10" ht="60">
      <c r="A1683" s="27" t="s">
        <v>1755</v>
      </c>
      <c r="B1683" s="3" t="s">
        <v>5</v>
      </c>
      <c r="C1683" s="3" t="s">
        <v>60</v>
      </c>
      <c r="D1683" s="3" t="s">
        <v>305</v>
      </c>
      <c r="E1683" s="3" t="s">
        <v>179</v>
      </c>
      <c r="F1683" s="6">
        <v>12.6</v>
      </c>
      <c r="G1683" s="6" t="s">
        <v>306</v>
      </c>
      <c r="H1683" s="5">
        <v>241920</v>
      </c>
      <c r="I1683" s="22" t="s">
        <v>681</v>
      </c>
      <c r="J1683" s="5" t="s">
        <v>102</v>
      </c>
    </row>
    <row r="1684" spans="1:10" ht="30">
      <c r="A1684" s="27" t="s">
        <v>1756</v>
      </c>
      <c r="B1684" s="3" t="s">
        <v>5</v>
      </c>
      <c r="C1684" s="3" t="s">
        <v>60</v>
      </c>
      <c r="D1684" s="3" t="s">
        <v>307</v>
      </c>
      <c r="E1684" s="3" t="s">
        <v>179</v>
      </c>
      <c r="F1684" s="6">
        <v>25</v>
      </c>
      <c r="G1684" s="6" t="s">
        <v>310</v>
      </c>
      <c r="H1684" s="5">
        <v>252000</v>
      </c>
      <c r="I1684" s="22" t="s">
        <v>681</v>
      </c>
      <c r="J1684" s="5" t="s">
        <v>102</v>
      </c>
    </row>
    <row r="1685" spans="1:10" ht="30">
      <c r="A1685" s="27" t="s">
        <v>1757</v>
      </c>
      <c r="B1685" s="3" t="s">
        <v>5</v>
      </c>
      <c r="C1685" s="3" t="s">
        <v>60</v>
      </c>
      <c r="D1685" s="3" t="s">
        <v>308</v>
      </c>
      <c r="E1685" s="3" t="s">
        <v>179</v>
      </c>
      <c r="F1685" s="6">
        <v>25</v>
      </c>
      <c r="G1685" s="6" t="s">
        <v>310</v>
      </c>
      <c r="H1685" s="5">
        <v>360000</v>
      </c>
      <c r="I1685" s="22" t="s">
        <v>681</v>
      </c>
      <c r="J1685" s="5" t="s">
        <v>102</v>
      </c>
    </row>
    <row r="1686" spans="1:10" ht="30">
      <c r="A1686" s="27" t="s">
        <v>1758</v>
      </c>
      <c r="B1686" s="3" t="s">
        <v>5</v>
      </c>
      <c r="C1686" s="3" t="s">
        <v>60</v>
      </c>
      <c r="D1686" s="3" t="s">
        <v>309</v>
      </c>
      <c r="E1686" s="3" t="s">
        <v>179</v>
      </c>
      <c r="F1686" s="6">
        <v>30</v>
      </c>
      <c r="G1686" s="6" t="s">
        <v>310</v>
      </c>
      <c r="H1686" s="5">
        <f>360000-187152</f>
        <v>172848</v>
      </c>
      <c r="I1686" s="22" t="s">
        <v>681</v>
      </c>
      <c r="J1686" s="5" t="s">
        <v>102</v>
      </c>
    </row>
    <row r="1687" spans="1:10" ht="30">
      <c r="A1687" s="27" t="s">
        <v>1759</v>
      </c>
      <c r="B1687" s="3" t="s">
        <v>5</v>
      </c>
      <c r="C1687" s="3" t="s">
        <v>60</v>
      </c>
      <c r="D1687" s="22" t="s">
        <v>51</v>
      </c>
      <c r="E1687" s="22" t="s">
        <v>179</v>
      </c>
      <c r="F1687" s="6">
        <v>41.86</v>
      </c>
      <c r="G1687" s="6" t="s">
        <v>312</v>
      </c>
      <c r="H1687" s="5">
        <v>703248</v>
      </c>
      <c r="I1687" s="22" t="s">
        <v>681</v>
      </c>
      <c r="J1687" s="5" t="s">
        <v>102</v>
      </c>
    </row>
    <row r="1688" spans="1:10" ht="30">
      <c r="A1688" s="27" t="s">
        <v>1760</v>
      </c>
      <c r="B1688" s="3" t="s">
        <v>5</v>
      </c>
      <c r="C1688" s="3" t="s">
        <v>60</v>
      </c>
      <c r="D1688" s="3" t="s">
        <v>61</v>
      </c>
      <c r="E1688" s="3" t="s">
        <v>179</v>
      </c>
      <c r="F1688" s="6">
        <v>40</v>
      </c>
      <c r="G1688" s="6" t="s">
        <v>332</v>
      </c>
      <c r="H1688" s="5">
        <f>240000-87576</f>
        <v>152424</v>
      </c>
      <c r="I1688" s="22" t="s">
        <v>681</v>
      </c>
      <c r="J1688" s="5" t="s">
        <v>102</v>
      </c>
    </row>
    <row r="1689" spans="1:10" ht="30">
      <c r="A1689" s="27" t="s">
        <v>1761</v>
      </c>
      <c r="B1689" s="3" t="s">
        <v>5</v>
      </c>
      <c r="C1689" s="3" t="s">
        <v>60</v>
      </c>
      <c r="D1689" s="3" t="s">
        <v>311</v>
      </c>
      <c r="E1689" s="3" t="s">
        <v>179</v>
      </c>
      <c r="F1689" s="6">
        <v>92.88</v>
      </c>
      <c r="G1689" s="6" t="s">
        <v>313</v>
      </c>
      <c r="H1689" s="5">
        <f>2284848-36000-1279883.93</f>
        <v>968964.07000000007</v>
      </c>
      <c r="I1689" s="22" t="s">
        <v>681</v>
      </c>
      <c r="J1689" s="5" t="s">
        <v>102</v>
      </c>
    </row>
    <row r="1690" spans="1:10" ht="30">
      <c r="A1690" s="27" t="s">
        <v>1762</v>
      </c>
      <c r="B1690" s="3" t="s">
        <v>5</v>
      </c>
      <c r="C1690" s="3" t="s">
        <v>60</v>
      </c>
      <c r="D1690" s="3" t="s">
        <v>51</v>
      </c>
      <c r="E1690" s="3" t="s">
        <v>179</v>
      </c>
      <c r="F1690" s="6">
        <v>19.5</v>
      </c>
      <c r="G1690" s="6" t="s">
        <v>314</v>
      </c>
      <c r="H1690" s="5">
        <f>222300+13700</f>
        <v>236000</v>
      </c>
      <c r="I1690" s="22" t="s">
        <v>681</v>
      </c>
      <c r="J1690" s="5" t="s">
        <v>102</v>
      </c>
    </row>
    <row r="1691" spans="1:10" ht="45">
      <c r="A1691" s="27" t="s">
        <v>1763</v>
      </c>
      <c r="B1691" s="3" t="s">
        <v>5</v>
      </c>
      <c r="C1691" s="3" t="s">
        <v>60</v>
      </c>
      <c r="D1691" s="3" t="s">
        <v>315</v>
      </c>
      <c r="E1691" s="3" t="s">
        <v>179</v>
      </c>
      <c r="F1691" s="6">
        <v>30</v>
      </c>
      <c r="G1691" s="6" t="s">
        <v>317</v>
      </c>
      <c r="H1691" s="5">
        <f>331200-18200</f>
        <v>313000</v>
      </c>
      <c r="I1691" s="22" t="s">
        <v>681</v>
      </c>
      <c r="J1691" s="5" t="s">
        <v>102</v>
      </c>
    </row>
    <row r="1692" spans="1:10" ht="45">
      <c r="A1692" s="27" t="s">
        <v>1764</v>
      </c>
      <c r="B1692" s="3" t="s">
        <v>5</v>
      </c>
      <c r="C1692" s="3" t="s">
        <v>60</v>
      </c>
      <c r="D1692" s="3" t="s">
        <v>817</v>
      </c>
      <c r="E1692" s="3" t="s">
        <v>179</v>
      </c>
      <c r="F1692" s="6">
        <v>25</v>
      </c>
      <c r="G1692" s="6" t="s">
        <v>317</v>
      </c>
      <c r="H1692" s="5">
        <f>276000-25000</f>
        <v>251000</v>
      </c>
      <c r="I1692" s="22" t="s">
        <v>681</v>
      </c>
      <c r="J1692" s="5" t="s">
        <v>102</v>
      </c>
    </row>
    <row r="1693" spans="1:10" ht="30">
      <c r="A1693" s="27" t="s">
        <v>1765</v>
      </c>
      <c r="B1693" s="3" t="s">
        <v>5</v>
      </c>
      <c r="C1693" s="3" t="s">
        <v>60</v>
      </c>
      <c r="D1693" s="3" t="s">
        <v>316</v>
      </c>
      <c r="E1693" s="3" t="s">
        <v>179</v>
      </c>
      <c r="F1693" s="6">
        <v>37</v>
      </c>
      <c r="G1693" s="6" t="s">
        <v>317</v>
      </c>
      <c r="H1693" s="5">
        <v>666000</v>
      </c>
      <c r="I1693" s="22" t="s">
        <v>681</v>
      </c>
      <c r="J1693" s="5" t="s">
        <v>102</v>
      </c>
    </row>
    <row r="1694" spans="1:10" ht="30">
      <c r="A1694" s="27" t="s">
        <v>1766</v>
      </c>
      <c r="B1694" s="3" t="s">
        <v>5</v>
      </c>
      <c r="C1694" s="3" t="s">
        <v>60</v>
      </c>
      <c r="D1694" s="3" t="s">
        <v>316</v>
      </c>
      <c r="E1694" s="3" t="s">
        <v>179</v>
      </c>
      <c r="F1694" s="6">
        <v>1</v>
      </c>
      <c r="G1694" s="6" t="s">
        <v>317</v>
      </c>
      <c r="H1694" s="5">
        <f>182400+28600</f>
        <v>211000</v>
      </c>
      <c r="I1694" s="22" t="s">
        <v>681</v>
      </c>
      <c r="J1694" s="5" t="s">
        <v>102</v>
      </c>
    </row>
    <row r="1695" spans="1:10" ht="30">
      <c r="A1695" s="27" t="s">
        <v>1767</v>
      </c>
      <c r="B1695" s="22" t="s">
        <v>5</v>
      </c>
      <c r="C1695" s="22" t="s">
        <v>60</v>
      </c>
      <c r="D1695" s="22" t="s">
        <v>1940</v>
      </c>
      <c r="E1695" s="22" t="s">
        <v>179</v>
      </c>
      <c r="F1695" s="6">
        <v>20</v>
      </c>
      <c r="G1695" s="6" t="s">
        <v>317</v>
      </c>
      <c r="H1695" s="5">
        <v>211000</v>
      </c>
      <c r="I1695" s="22" t="s">
        <v>681</v>
      </c>
      <c r="J1695" s="5" t="s">
        <v>102</v>
      </c>
    </row>
    <row r="1696" spans="1:10" ht="30">
      <c r="A1696" s="27" t="s">
        <v>1768</v>
      </c>
      <c r="B1696" s="3" t="s">
        <v>5</v>
      </c>
      <c r="C1696" s="3" t="s">
        <v>60</v>
      </c>
      <c r="D1696" s="3" t="s">
        <v>819</v>
      </c>
      <c r="E1696" s="3" t="s">
        <v>179</v>
      </c>
      <c r="F1696" s="6">
        <v>28.42</v>
      </c>
      <c r="G1696" s="6" t="s">
        <v>318</v>
      </c>
      <c r="H1696" s="5">
        <v>480866.4</v>
      </c>
      <c r="I1696" s="22" t="s">
        <v>681</v>
      </c>
      <c r="J1696" s="5" t="s">
        <v>102</v>
      </c>
    </row>
    <row r="1697" spans="1:10" ht="30">
      <c r="A1697" s="27" t="s">
        <v>1769</v>
      </c>
      <c r="B1697" s="3" t="s">
        <v>5</v>
      </c>
      <c r="C1697" s="3" t="s">
        <v>60</v>
      </c>
      <c r="D1697" s="3" t="s">
        <v>820</v>
      </c>
      <c r="E1697" s="3" t="s">
        <v>179</v>
      </c>
      <c r="F1697" s="6">
        <v>26</v>
      </c>
      <c r="G1697" s="6" t="s">
        <v>318</v>
      </c>
      <c r="H1697" s="5">
        <v>480480</v>
      </c>
      <c r="I1697" s="22" t="s">
        <v>681</v>
      </c>
      <c r="J1697" s="5" t="s">
        <v>102</v>
      </c>
    </row>
    <row r="1698" spans="1:10" ht="30">
      <c r="A1698" s="27" t="s">
        <v>1770</v>
      </c>
      <c r="B1698" s="3" t="s">
        <v>5</v>
      </c>
      <c r="C1698" s="3" t="s">
        <v>60</v>
      </c>
      <c r="D1698" s="3" t="s">
        <v>54</v>
      </c>
      <c r="E1698" s="3" t="s">
        <v>179</v>
      </c>
      <c r="F1698" s="6">
        <v>41.8</v>
      </c>
      <c r="G1698" s="6" t="s">
        <v>319</v>
      </c>
      <c r="H1698" s="5">
        <v>1028280</v>
      </c>
      <c r="I1698" s="22" t="s">
        <v>681</v>
      </c>
      <c r="J1698" s="5" t="s">
        <v>102</v>
      </c>
    </row>
    <row r="1699" spans="1:10" ht="30">
      <c r="A1699" s="27" t="s">
        <v>1771</v>
      </c>
      <c r="B1699" s="3" t="s">
        <v>5</v>
      </c>
      <c r="C1699" s="3" t="s">
        <v>60</v>
      </c>
      <c r="D1699" s="3" t="s">
        <v>54</v>
      </c>
      <c r="E1699" s="3" t="s">
        <v>179</v>
      </c>
      <c r="F1699" s="6">
        <v>19.5</v>
      </c>
      <c r="G1699" s="6" t="s">
        <v>321</v>
      </c>
      <c r="H1699" s="5">
        <v>351000</v>
      </c>
      <c r="I1699" s="22" t="s">
        <v>681</v>
      </c>
      <c r="J1699" s="5" t="s">
        <v>102</v>
      </c>
    </row>
    <row r="1700" spans="1:10" ht="30">
      <c r="A1700" s="27" t="s">
        <v>1772</v>
      </c>
      <c r="B1700" s="3" t="s">
        <v>5</v>
      </c>
      <c r="C1700" s="3" t="s">
        <v>60</v>
      </c>
      <c r="D1700" s="3" t="s">
        <v>320</v>
      </c>
      <c r="E1700" s="3" t="s">
        <v>179</v>
      </c>
      <c r="F1700" s="6">
        <v>40.630000000000003</v>
      </c>
      <c r="G1700" s="6" t="s">
        <v>321</v>
      </c>
      <c r="H1700" s="5">
        <v>731340.00000000012</v>
      </c>
      <c r="I1700" s="22" t="s">
        <v>681</v>
      </c>
      <c r="J1700" s="5" t="s">
        <v>102</v>
      </c>
    </row>
    <row r="1701" spans="1:10" ht="30">
      <c r="A1701" s="27" t="s">
        <v>1773</v>
      </c>
      <c r="B1701" s="3" t="s">
        <v>5</v>
      </c>
      <c r="C1701" s="3" t="s">
        <v>60</v>
      </c>
      <c r="D1701" s="3" t="s">
        <v>821</v>
      </c>
      <c r="E1701" s="3" t="s">
        <v>179</v>
      </c>
      <c r="F1701" s="6">
        <v>45.8</v>
      </c>
      <c r="G1701" s="6" t="s">
        <v>322</v>
      </c>
      <c r="H1701" s="5">
        <f>604560+87576</f>
        <v>692136</v>
      </c>
      <c r="I1701" s="22" t="s">
        <v>681</v>
      </c>
      <c r="J1701" s="5" t="s">
        <v>102</v>
      </c>
    </row>
    <row r="1702" spans="1:10" ht="30">
      <c r="A1702" s="27" t="s">
        <v>1774</v>
      </c>
      <c r="B1702" s="3" t="s">
        <v>5</v>
      </c>
      <c r="C1702" s="3" t="s">
        <v>60</v>
      </c>
      <c r="D1702" s="3" t="s">
        <v>822</v>
      </c>
      <c r="E1702" s="3" t="s">
        <v>179</v>
      </c>
      <c r="F1702" s="6">
        <v>175</v>
      </c>
      <c r="G1702" s="6" t="s">
        <v>323</v>
      </c>
      <c r="H1702" s="5">
        <f>4704000-488953</f>
        <v>4215047</v>
      </c>
      <c r="I1702" s="22" t="s">
        <v>681</v>
      </c>
      <c r="J1702" s="5" t="s">
        <v>102</v>
      </c>
    </row>
    <row r="1703" spans="1:10" ht="30">
      <c r="A1703" s="27" t="s">
        <v>1775</v>
      </c>
      <c r="B1703" s="3" t="s">
        <v>5</v>
      </c>
      <c r="C1703" s="3" t="s">
        <v>60</v>
      </c>
      <c r="D1703" s="3" t="s">
        <v>823</v>
      </c>
      <c r="E1703" s="3" t="s">
        <v>179</v>
      </c>
      <c r="F1703" s="6">
        <v>6.25</v>
      </c>
      <c r="G1703" s="6" t="s">
        <v>323</v>
      </c>
      <c r="H1703" s="5">
        <v>90000</v>
      </c>
      <c r="I1703" s="22" t="s">
        <v>681</v>
      </c>
      <c r="J1703" s="5" t="s">
        <v>102</v>
      </c>
    </row>
    <row r="1704" spans="1:10" ht="30">
      <c r="A1704" s="27" t="s">
        <v>1776</v>
      </c>
      <c r="B1704" s="3" t="s">
        <v>5</v>
      </c>
      <c r="C1704" s="3" t="s">
        <v>60</v>
      </c>
      <c r="D1704" s="3" t="s">
        <v>824</v>
      </c>
      <c r="E1704" s="3" t="s">
        <v>179</v>
      </c>
      <c r="F1704" s="6">
        <v>6.25</v>
      </c>
      <c r="G1704" s="6" t="s">
        <v>323</v>
      </c>
      <c r="H1704" s="5">
        <f>90000+153075.5</f>
        <v>243075.5</v>
      </c>
      <c r="I1704" s="22" t="s">
        <v>681</v>
      </c>
      <c r="J1704" s="5" t="s">
        <v>102</v>
      </c>
    </row>
    <row r="1705" spans="1:10" ht="30">
      <c r="A1705" s="27" t="s">
        <v>1777</v>
      </c>
      <c r="B1705" s="3" t="s">
        <v>5</v>
      </c>
      <c r="C1705" s="3" t="s">
        <v>60</v>
      </c>
      <c r="D1705" s="3" t="s">
        <v>825</v>
      </c>
      <c r="E1705" s="3" t="s">
        <v>179</v>
      </c>
      <c r="F1705" s="6">
        <v>46.78</v>
      </c>
      <c r="G1705" s="6" t="s">
        <v>323</v>
      </c>
      <c r="H1705" s="5">
        <f>673632-153075.5</f>
        <v>520556.5</v>
      </c>
      <c r="I1705" s="22" t="s">
        <v>681</v>
      </c>
      <c r="J1705" s="5" t="s">
        <v>102</v>
      </c>
    </row>
    <row r="1706" spans="1:10" ht="30">
      <c r="A1706" s="27" t="s">
        <v>1778</v>
      </c>
      <c r="B1706" s="22" t="s">
        <v>5</v>
      </c>
      <c r="C1706" s="22" t="s">
        <v>60</v>
      </c>
      <c r="D1706" s="22" t="s">
        <v>826</v>
      </c>
      <c r="E1706" s="22" t="s">
        <v>179</v>
      </c>
      <c r="F1706" s="6">
        <v>23.67</v>
      </c>
      <c r="G1706" s="6" t="s">
        <v>323</v>
      </c>
      <c r="H1706" s="5">
        <v>284040</v>
      </c>
      <c r="I1706" s="22" t="s">
        <v>681</v>
      </c>
      <c r="J1706" s="5" t="s">
        <v>102</v>
      </c>
    </row>
    <row r="1707" spans="1:10" ht="30">
      <c r="A1707" s="27" t="s">
        <v>1779</v>
      </c>
      <c r="B1707" s="3" t="s">
        <v>5</v>
      </c>
      <c r="C1707" s="3" t="s">
        <v>60</v>
      </c>
      <c r="D1707" s="3" t="s">
        <v>61</v>
      </c>
      <c r="E1707" s="3" t="s">
        <v>179</v>
      </c>
      <c r="F1707" s="6">
        <v>82</v>
      </c>
      <c r="G1707" s="6" t="s">
        <v>324</v>
      </c>
      <c r="H1707" s="5">
        <f>1426800-2335.71</f>
        <v>1424464.29</v>
      </c>
      <c r="I1707" s="22" t="s">
        <v>681</v>
      </c>
      <c r="J1707" s="5" t="s">
        <v>102</v>
      </c>
    </row>
    <row r="1708" spans="1:10" ht="30">
      <c r="A1708" s="27" t="s">
        <v>1780</v>
      </c>
      <c r="B1708" s="3" t="s">
        <v>5</v>
      </c>
      <c r="C1708" s="3" t="s">
        <v>60</v>
      </c>
      <c r="D1708" s="3" t="s">
        <v>53</v>
      </c>
      <c r="E1708" s="3" t="s">
        <v>179</v>
      </c>
      <c r="F1708" s="6">
        <v>42.25</v>
      </c>
      <c r="G1708" s="6" t="s">
        <v>325</v>
      </c>
      <c r="H1708" s="5">
        <v>507000</v>
      </c>
      <c r="I1708" s="22" t="s">
        <v>681</v>
      </c>
      <c r="J1708" s="5" t="s">
        <v>102</v>
      </c>
    </row>
    <row r="1709" spans="1:10" ht="30">
      <c r="A1709" s="27" t="s">
        <v>1781</v>
      </c>
      <c r="B1709" s="3" t="s">
        <v>5</v>
      </c>
      <c r="C1709" s="3" t="s">
        <v>60</v>
      </c>
      <c r="D1709" s="3" t="s">
        <v>52</v>
      </c>
      <c r="E1709" s="3" t="s">
        <v>179</v>
      </c>
      <c r="F1709" s="6">
        <v>41.9</v>
      </c>
      <c r="G1709" s="6" t="s">
        <v>325</v>
      </c>
      <c r="H1709" s="5">
        <v>502800</v>
      </c>
      <c r="I1709" s="22" t="s">
        <v>681</v>
      </c>
      <c r="J1709" s="5" t="s">
        <v>102</v>
      </c>
    </row>
    <row r="1710" spans="1:10" ht="30">
      <c r="A1710" s="27" t="s">
        <v>1782</v>
      </c>
      <c r="B1710" s="3" t="s">
        <v>5</v>
      </c>
      <c r="C1710" s="3" t="s">
        <v>60</v>
      </c>
      <c r="D1710" s="3" t="s">
        <v>51</v>
      </c>
      <c r="E1710" s="3" t="s">
        <v>179</v>
      </c>
      <c r="F1710" s="6">
        <v>41.6</v>
      </c>
      <c r="G1710" s="6" t="s">
        <v>325</v>
      </c>
      <c r="H1710" s="5">
        <v>499200</v>
      </c>
      <c r="I1710" s="22" t="s">
        <v>681</v>
      </c>
      <c r="J1710" s="5" t="s">
        <v>102</v>
      </c>
    </row>
    <row r="1711" spans="1:10" ht="30">
      <c r="A1711" s="27" t="s">
        <v>1783</v>
      </c>
      <c r="B1711" s="3" t="s">
        <v>5</v>
      </c>
      <c r="C1711" s="3" t="s">
        <v>60</v>
      </c>
      <c r="D1711" s="3" t="s">
        <v>61</v>
      </c>
      <c r="E1711" s="3" t="s">
        <v>179</v>
      </c>
      <c r="F1711" s="6">
        <v>16</v>
      </c>
      <c r="G1711" s="6" t="s">
        <v>326</v>
      </c>
      <c r="H1711" s="5">
        <f>700800-13700-131800-28600</f>
        <v>526700</v>
      </c>
      <c r="I1711" s="22" t="s">
        <v>681</v>
      </c>
      <c r="J1711" s="5" t="s">
        <v>102</v>
      </c>
    </row>
    <row r="1712" spans="1:10" ht="30">
      <c r="A1712" s="27" t="s">
        <v>1784</v>
      </c>
      <c r="B1712" s="3" t="s">
        <v>5</v>
      </c>
      <c r="C1712" s="3" t="s">
        <v>60</v>
      </c>
      <c r="D1712" s="3" t="s">
        <v>52</v>
      </c>
      <c r="E1712" s="3" t="s">
        <v>179</v>
      </c>
      <c r="F1712" s="6">
        <v>15.36</v>
      </c>
      <c r="G1712" s="6" t="s">
        <v>327</v>
      </c>
      <c r="H1712" s="5">
        <v>184320</v>
      </c>
      <c r="I1712" s="22" t="s">
        <v>681</v>
      </c>
      <c r="J1712" s="5" t="s">
        <v>102</v>
      </c>
    </row>
    <row r="1713" spans="1:10" ht="30">
      <c r="A1713" s="27" t="s">
        <v>1785</v>
      </c>
      <c r="B1713" s="3" t="s">
        <v>5</v>
      </c>
      <c r="C1713" s="3" t="s">
        <v>60</v>
      </c>
      <c r="D1713" s="3" t="s">
        <v>51</v>
      </c>
      <c r="E1713" s="3" t="s">
        <v>179</v>
      </c>
      <c r="F1713" s="6">
        <v>43.2</v>
      </c>
      <c r="G1713" s="6" t="s">
        <v>327</v>
      </c>
      <c r="H1713" s="5">
        <v>414720</v>
      </c>
      <c r="I1713" s="22" t="s">
        <v>681</v>
      </c>
      <c r="J1713" s="5" t="s">
        <v>102</v>
      </c>
    </row>
    <row r="1714" spans="1:10" ht="30">
      <c r="A1714" s="27" t="s">
        <v>1943</v>
      </c>
      <c r="B1714" s="3" t="s">
        <v>5</v>
      </c>
      <c r="C1714" s="3" t="s">
        <v>60</v>
      </c>
      <c r="D1714" s="3" t="s">
        <v>53</v>
      </c>
      <c r="E1714" s="3" t="s">
        <v>179</v>
      </c>
      <c r="F1714" s="6">
        <v>38.5</v>
      </c>
      <c r="G1714" s="6" t="s">
        <v>327</v>
      </c>
      <c r="H1714" s="5">
        <v>443520</v>
      </c>
      <c r="I1714" s="22" t="s">
        <v>681</v>
      </c>
      <c r="J1714" s="5" t="s">
        <v>102</v>
      </c>
    </row>
    <row r="1715" spans="1:10" ht="30">
      <c r="A1715" s="27" t="s">
        <v>3121</v>
      </c>
      <c r="B1715" s="22" t="s">
        <v>3122</v>
      </c>
      <c r="C1715" s="22" t="s">
        <v>60</v>
      </c>
      <c r="D1715" s="22" t="s">
        <v>3122</v>
      </c>
      <c r="E1715" s="22" t="s">
        <v>179</v>
      </c>
      <c r="F1715" s="6">
        <v>70</v>
      </c>
      <c r="G1715" s="6" t="s">
        <v>306</v>
      </c>
      <c r="H1715" s="5">
        <v>2335.71</v>
      </c>
      <c r="I1715" s="22" t="s">
        <v>681</v>
      </c>
      <c r="J1715" s="5" t="s">
        <v>102</v>
      </c>
    </row>
    <row r="1716" spans="1:10">
      <c r="A1716" s="27" t="s">
        <v>515</v>
      </c>
      <c r="B1716" s="12" t="s">
        <v>55</v>
      </c>
      <c r="C1716" s="4" t="s">
        <v>578</v>
      </c>
      <c r="D1716" s="3" t="s">
        <v>55</v>
      </c>
      <c r="E1716" s="4" t="s">
        <v>578</v>
      </c>
      <c r="F1716" s="4" t="s">
        <v>578</v>
      </c>
      <c r="G1716" s="4" t="s">
        <v>101</v>
      </c>
      <c r="H1716" s="13">
        <f>SUM(H1717:H1733)</f>
        <v>9133000</v>
      </c>
      <c r="I1716" s="3" t="s">
        <v>578</v>
      </c>
      <c r="J1716" s="5" t="s">
        <v>102</v>
      </c>
    </row>
    <row r="1717" spans="1:10" ht="30">
      <c r="A1717" s="27" t="s">
        <v>516</v>
      </c>
      <c r="B1717" s="3" t="s">
        <v>55</v>
      </c>
      <c r="C1717" s="3" t="s">
        <v>60</v>
      </c>
      <c r="D1717" s="3" t="s">
        <v>828</v>
      </c>
      <c r="E1717" s="3" t="s">
        <v>329</v>
      </c>
      <c r="F1717" s="6">
        <v>5</v>
      </c>
      <c r="G1717" s="6" t="s">
        <v>101</v>
      </c>
      <c r="H1717" s="5">
        <v>732000</v>
      </c>
      <c r="I1717" s="22" t="s">
        <v>681</v>
      </c>
      <c r="J1717" s="5" t="s">
        <v>102</v>
      </c>
    </row>
    <row r="1718" spans="1:10" ht="30">
      <c r="A1718" s="27" t="s">
        <v>517</v>
      </c>
      <c r="B1718" s="22" t="s">
        <v>55</v>
      </c>
      <c r="C1718" s="22" t="s">
        <v>60</v>
      </c>
      <c r="D1718" s="22" t="s">
        <v>827</v>
      </c>
      <c r="E1718" s="22" t="s">
        <v>329</v>
      </c>
      <c r="F1718" s="6">
        <v>15</v>
      </c>
      <c r="G1718" s="6" t="s">
        <v>101</v>
      </c>
      <c r="H1718" s="5">
        <v>2196000</v>
      </c>
      <c r="I1718" s="22" t="s">
        <v>681</v>
      </c>
      <c r="J1718" s="5" t="s">
        <v>102</v>
      </c>
    </row>
    <row r="1719" spans="1:10" ht="30">
      <c r="A1719" s="27" t="s">
        <v>518</v>
      </c>
      <c r="B1719" s="3" t="s">
        <v>55</v>
      </c>
      <c r="C1719" s="22" t="s">
        <v>59</v>
      </c>
      <c r="D1719" s="3" t="s">
        <v>333</v>
      </c>
      <c r="E1719" s="3" t="s">
        <v>329</v>
      </c>
      <c r="F1719" s="6">
        <v>3</v>
      </c>
      <c r="G1719" s="6" t="s">
        <v>304</v>
      </c>
      <c r="H1719" s="5">
        <v>328500</v>
      </c>
      <c r="I1719" s="22" t="s">
        <v>681</v>
      </c>
      <c r="J1719" s="5" t="s">
        <v>102</v>
      </c>
    </row>
    <row r="1720" spans="1:10" ht="30">
      <c r="A1720" s="27" t="s">
        <v>519</v>
      </c>
      <c r="B1720" s="3" t="s">
        <v>55</v>
      </c>
      <c r="C1720" s="22" t="s">
        <v>59</v>
      </c>
      <c r="D1720" s="3" t="s">
        <v>333</v>
      </c>
      <c r="E1720" s="3" t="s">
        <v>329</v>
      </c>
      <c r="F1720" s="6">
        <v>4</v>
      </c>
      <c r="G1720" s="3" t="s">
        <v>312</v>
      </c>
      <c r="H1720" s="5">
        <v>438000</v>
      </c>
      <c r="I1720" s="22" t="s">
        <v>681</v>
      </c>
      <c r="J1720" s="5" t="s">
        <v>102</v>
      </c>
    </row>
    <row r="1721" spans="1:10" ht="30">
      <c r="A1721" s="27" t="s">
        <v>520</v>
      </c>
      <c r="B1721" s="3" t="s">
        <v>55</v>
      </c>
      <c r="C1721" s="22" t="s">
        <v>59</v>
      </c>
      <c r="D1721" s="3" t="s">
        <v>333</v>
      </c>
      <c r="E1721" s="3" t="s">
        <v>329</v>
      </c>
      <c r="F1721" s="6">
        <v>3</v>
      </c>
      <c r="G1721" s="6" t="s">
        <v>323</v>
      </c>
      <c r="H1721" s="5">
        <v>383250</v>
      </c>
      <c r="I1721" s="22" t="s">
        <v>681</v>
      </c>
      <c r="J1721" s="5" t="s">
        <v>102</v>
      </c>
    </row>
    <row r="1722" spans="1:10" ht="30">
      <c r="A1722" s="27" t="s">
        <v>521</v>
      </c>
      <c r="B1722" s="3" t="s">
        <v>55</v>
      </c>
      <c r="C1722" s="22" t="s">
        <v>59</v>
      </c>
      <c r="D1722" s="3" t="s">
        <v>333</v>
      </c>
      <c r="E1722" s="3" t="s">
        <v>329</v>
      </c>
      <c r="F1722" s="6">
        <v>3</v>
      </c>
      <c r="G1722" s="6" t="s">
        <v>330</v>
      </c>
      <c r="H1722" s="5">
        <f>383250-76650</f>
        <v>306600</v>
      </c>
      <c r="I1722" s="22" t="s">
        <v>681</v>
      </c>
      <c r="J1722" s="5" t="s">
        <v>102</v>
      </c>
    </row>
    <row r="1723" spans="1:10" ht="30">
      <c r="A1723" s="27" t="s">
        <v>522</v>
      </c>
      <c r="B1723" s="3" t="s">
        <v>55</v>
      </c>
      <c r="C1723" s="22" t="s">
        <v>59</v>
      </c>
      <c r="D1723" s="3" t="s">
        <v>333</v>
      </c>
      <c r="E1723" s="3" t="s">
        <v>329</v>
      </c>
      <c r="F1723" s="6">
        <v>3</v>
      </c>
      <c r="G1723" s="6" t="s">
        <v>306</v>
      </c>
      <c r="H1723" s="5">
        <v>383250</v>
      </c>
      <c r="I1723" s="22" t="s">
        <v>681</v>
      </c>
      <c r="J1723" s="5" t="s">
        <v>102</v>
      </c>
    </row>
    <row r="1724" spans="1:10" ht="30">
      <c r="A1724" s="27" t="s">
        <v>523</v>
      </c>
      <c r="B1724" s="3" t="s">
        <v>55</v>
      </c>
      <c r="C1724" s="22" t="s">
        <v>59</v>
      </c>
      <c r="D1724" s="3" t="s">
        <v>333</v>
      </c>
      <c r="E1724" s="3" t="s">
        <v>329</v>
      </c>
      <c r="F1724" s="6">
        <v>5</v>
      </c>
      <c r="G1724" s="6" t="s">
        <v>319</v>
      </c>
      <c r="H1724" s="5">
        <f>255500</f>
        <v>255500</v>
      </c>
      <c r="I1724" s="22" t="s">
        <v>681</v>
      </c>
      <c r="J1724" s="5" t="s">
        <v>102</v>
      </c>
    </row>
    <row r="1725" spans="1:10" ht="30">
      <c r="A1725" s="27" t="s">
        <v>524</v>
      </c>
      <c r="B1725" s="3" t="s">
        <v>55</v>
      </c>
      <c r="C1725" s="22" t="s">
        <v>59</v>
      </c>
      <c r="D1725" s="3" t="s">
        <v>333</v>
      </c>
      <c r="E1725" s="3" t="s">
        <v>329</v>
      </c>
      <c r="F1725" s="6">
        <v>4</v>
      </c>
      <c r="G1725" s="6" t="s">
        <v>325</v>
      </c>
      <c r="H1725" s="5">
        <f>730000-14600</f>
        <v>715400</v>
      </c>
      <c r="I1725" s="22" t="s">
        <v>681</v>
      </c>
      <c r="J1725" s="5" t="s">
        <v>102</v>
      </c>
    </row>
    <row r="1726" spans="1:10" ht="30">
      <c r="A1726" s="27" t="s">
        <v>525</v>
      </c>
      <c r="B1726" s="3" t="s">
        <v>55</v>
      </c>
      <c r="C1726" s="22" t="s">
        <v>59</v>
      </c>
      <c r="D1726" s="3" t="s">
        <v>333</v>
      </c>
      <c r="E1726" s="3" t="s">
        <v>329</v>
      </c>
      <c r="F1726" s="6">
        <v>4</v>
      </c>
      <c r="G1726" s="6" t="s">
        <v>331</v>
      </c>
      <c r="H1726" s="5">
        <f>730000-12320</f>
        <v>717680</v>
      </c>
      <c r="I1726" s="22" t="s">
        <v>681</v>
      </c>
      <c r="J1726" s="5" t="s">
        <v>102</v>
      </c>
    </row>
    <row r="1727" spans="1:10" ht="30">
      <c r="A1727" s="27" t="s">
        <v>526</v>
      </c>
      <c r="B1727" s="3" t="s">
        <v>55</v>
      </c>
      <c r="C1727" s="22" t="s">
        <v>59</v>
      </c>
      <c r="D1727" s="3" t="s">
        <v>333</v>
      </c>
      <c r="E1727" s="3" t="s">
        <v>329</v>
      </c>
      <c r="F1727" s="6">
        <v>1</v>
      </c>
      <c r="G1727" s="6" t="s">
        <v>332</v>
      </c>
      <c r="H1727" s="5">
        <f>237250-18250</f>
        <v>219000</v>
      </c>
      <c r="I1727" s="22" t="s">
        <v>681</v>
      </c>
      <c r="J1727" s="5" t="s">
        <v>102</v>
      </c>
    </row>
    <row r="1728" spans="1:10" ht="30">
      <c r="A1728" s="27" t="s">
        <v>527</v>
      </c>
      <c r="B1728" s="3" t="s">
        <v>55</v>
      </c>
      <c r="C1728" s="22" t="s">
        <v>59</v>
      </c>
      <c r="D1728" s="3" t="s">
        <v>333</v>
      </c>
      <c r="E1728" s="3" t="s">
        <v>329</v>
      </c>
      <c r="F1728" s="6">
        <v>2</v>
      </c>
      <c r="G1728" s="6" t="s">
        <v>324</v>
      </c>
      <c r="H1728" s="5">
        <v>292000</v>
      </c>
      <c r="I1728" s="22" t="s">
        <v>681</v>
      </c>
      <c r="J1728" s="5" t="s">
        <v>102</v>
      </c>
    </row>
    <row r="1729" spans="1:10" ht="30">
      <c r="A1729" s="27" t="s">
        <v>528</v>
      </c>
      <c r="B1729" s="3" t="s">
        <v>55</v>
      </c>
      <c r="C1729" s="22" t="s">
        <v>59</v>
      </c>
      <c r="D1729" s="3" t="s">
        <v>333</v>
      </c>
      <c r="E1729" s="3" t="s">
        <v>329</v>
      </c>
      <c r="F1729" s="6">
        <v>2</v>
      </c>
      <c r="G1729" s="6" t="s">
        <v>313</v>
      </c>
      <c r="H1729" s="5">
        <v>255500</v>
      </c>
      <c r="I1729" s="22" t="s">
        <v>681</v>
      </c>
      <c r="J1729" s="5" t="s">
        <v>102</v>
      </c>
    </row>
    <row r="1730" spans="1:10" ht="30">
      <c r="A1730" s="27" t="s">
        <v>529</v>
      </c>
      <c r="B1730" s="3" t="s">
        <v>55</v>
      </c>
      <c r="C1730" s="22" t="s">
        <v>59</v>
      </c>
      <c r="D1730" s="3" t="s">
        <v>829</v>
      </c>
      <c r="E1730" s="3" t="s">
        <v>329</v>
      </c>
      <c r="F1730" s="6">
        <v>4</v>
      </c>
      <c r="G1730" s="6" t="s">
        <v>101</v>
      </c>
      <c r="H1730" s="5">
        <f>1460000-590960</f>
        <v>869040</v>
      </c>
      <c r="I1730" s="22" t="s">
        <v>681</v>
      </c>
      <c r="J1730" s="5" t="s">
        <v>102</v>
      </c>
    </row>
    <row r="1731" spans="1:10" ht="30">
      <c r="A1731" s="27" t="s">
        <v>1938</v>
      </c>
      <c r="B1731" s="22" t="s">
        <v>55</v>
      </c>
      <c r="C1731" s="22" t="s">
        <v>59</v>
      </c>
      <c r="D1731" s="22" t="s">
        <v>333</v>
      </c>
      <c r="E1731" s="22" t="s">
        <v>329</v>
      </c>
      <c r="F1731" s="6">
        <v>4</v>
      </c>
      <c r="G1731" s="6" t="s">
        <v>310</v>
      </c>
      <c r="H1731" s="5">
        <v>328500</v>
      </c>
      <c r="I1731" s="22" t="s">
        <v>681</v>
      </c>
      <c r="J1731" s="5" t="s">
        <v>102</v>
      </c>
    </row>
    <row r="1732" spans="1:10" ht="30">
      <c r="A1732" s="27" t="s">
        <v>1939</v>
      </c>
      <c r="B1732" s="22" t="s">
        <v>55</v>
      </c>
      <c r="C1732" s="22" t="s">
        <v>59</v>
      </c>
      <c r="D1732" s="22" t="s">
        <v>333</v>
      </c>
      <c r="E1732" s="22" t="s">
        <v>329</v>
      </c>
      <c r="F1732" s="6">
        <v>4</v>
      </c>
      <c r="G1732" s="6" t="s">
        <v>317</v>
      </c>
      <c r="H1732" s="5">
        <v>109500</v>
      </c>
      <c r="I1732" s="22" t="s">
        <v>681</v>
      </c>
      <c r="J1732" s="5" t="s">
        <v>102</v>
      </c>
    </row>
    <row r="1733" spans="1:10" ht="30">
      <c r="A1733" s="27" t="s">
        <v>2152</v>
      </c>
      <c r="B1733" s="22" t="s">
        <v>55</v>
      </c>
      <c r="C1733" s="22" t="s">
        <v>59</v>
      </c>
      <c r="D1733" s="22" t="s">
        <v>333</v>
      </c>
      <c r="E1733" s="22" t="s">
        <v>329</v>
      </c>
      <c r="F1733" s="6">
        <v>4</v>
      </c>
      <c r="G1733" s="22" t="s">
        <v>2153</v>
      </c>
      <c r="H1733" s="5">
        <v>603280</v>
      </c>
      <c r="I1733" s="22" t="s">
        <v>681</v>
      </c>
      <c r="J1733" s="5" t="s">
        <v>102</v>
      </c>
    </row>
    <row r="1734" spans="1:10" ht="45">
      <c r="A1734" s="27" t="s">
        <v>530</v>
      </c>
      <c r="B1734" s="12" t="s">
        <v>334</v>
      </c>
      <c r="C1734" s="3" t="s">
        <v>59</v>
      </c>
      <c r="D1734" s="3" t="s">
        <v>335</v>
      </c>
      <c r="E1734" s="3" t="s">
        <v>336</v>
      </c>
      <c r="F1734" s="6">
        <v>1</v>
      </c>
      <c r="G1734" s="6" t="s">
        <v>101</v>
      </c>
      <c r="H1734" s="13">
        <v>1200000</v>
      </c>
      <c r="I1734" s="22" t="s">
        <v>681</v>
      </c>
      <c r="J1734" s="5" t="s">
        <v>102</v>
      </c>
    </row>
    <row r="1735" spans="1:10" ht="28.5">
      <c r="A1735" s="27" t="s">
        <v>531</v>
      </c>
      <c r="B1735" s="12" t="s">
        <v>337</v>
      </c>
      <c r="C1735" s="3" t="s">
        <v>58</v>
      </c>
      <c r="D1735" s="3" t="s">
        <v>578</v>
      </c>
      <c r="E1735" s="3" t="s">
        <v>578</v>
      </c>
      <c r="F1735" s="6" t="s">
        <v>578</v>
      </c>
      <c r="G1735" s="6" t="s">
        <v>578</v>
      </c>
      <c r="H1735" s="13">
        <f>SUM(H1736:H1737)</f>
        <v>23655000</v>
      </c>
      <c r="I1735" s="22" t="s">
        <v>578</v>
      </c>
      <c r="J1735" s="5" t="s">
        <v>102</v>
      </c>
    </row>
    <row r="1736" spans="1:10" ht="60">
      <c r="A1736" s="27" t="s">
        <v>532</v>
      </c>
      <c r="B1736" s="3" t="s">
        <v>337</v>
      </c>
      <c r="C1736" s="3" t="s">
        <v>58</v>
      </c>
      <c r="D1736" s="3" t="s">
        <v>338</v>
      </c>
      <c r="E1736" s="3" t="s">
        <v>336</v>
      </c>
      <c r="F1736" s="6">
        <v>1</v>
      </c>
      <c r="G1736" s="6" t="s">
        <v>101</v>
      </c>
      <c r="H1736" s="5">
        <v>21912000</v>
      </c>
      <c r="I1736" s="22" t="s">
        <v>681</v>
      </c>
      <c r="J1736" s="5" t="s">
        <v>102</v>
      </c>
    </row>
    <row r="1737" spans="1:10" ht="45">
      <c r="A1737" s="27" t="s">
        <v>1786</v>
      </c>
      <c r="B1737" s="3" t="s">
        <v>337</v>
      </c>
      <c r="C1737" s="3" t="s">
        <v>58</v>
      </c>
      <c r="D1737" s="3" t="s">
        <v>339</v>
      </c>
      <c r="E1737" s="3" t="s">
        <v>336</v>
      </c>
      <c r="F1737" s="6">
        <v>1</v>
      </c>
      <c r="G1737" s="6" t="s">
        <v>101</v>
      </c>
      <c r="H1737" s="5">
        <v>1743000</v>
      </c>
      <c r="I1737" s="22" t="s">
        <v>681</v>
      </c>
      <c r="J1737" s="5" t="s">
        <v>102</v>
      </c>
    </row>
    <row r="1738" spans="1:10" ht="45">
      <c r="A1738" s="27" t="s">
        <v>533</v>
      </c>
      <c r="B1738" s="12" t="s">
        <v>342</v>
      </c>
      <c r="C1738" s="4" t="s">
        <v>60</v>
      </c>
      <c r="D1738" s="3" t="s">
        <v>342</v>
      </c>
      <c r="E1738" s="4" t="s">
        <v>578</v>
      </c>
      <c r="F1738" s="4" t="s">
        <v>578</v>
      </c>
      <c r="G1738" s="4" t="s">
        <v>101</v>
      </c>
      <c r="H1738" s="13">
        <f>SUM(H1739:H1745)</f>
        <v>216394175.97600001</v>
      </c>
      <c r="I1738" s="22" t="s">
        <v>578</v>
      </c>
      <c r="J1738" s="5" t="s">
        <v>102</v>
      </c>
    </row>
    <row r="1739" spans="1:10" ht="30">
      <c r="A1739" s="27" t="s">
        <v>534</v>
      </c>
      <c r="B1739" s="3" t="s">
        <v>341</v>
      </c>
      <c r="C1739" s="3" t="s">
        <v>60</v>
      </c>
      <c r="D1739" s="3" t="s">
        <v>343</v>
      </c>
      <c r="E1739" s="3" t="s">
        <v>179</v>
      </c>
      <c r="F1739" s="6">
        <v>870.3</v>
      </c>
      <c r="G1739" s="6" t="s">
        <v>101</v>
      </c>
      <c r="H1739" s="5">
        <v>13706076.204</v>
      </c>
      <c r="I1739" s="22" t="s">
        <v>681</v>
      </c>
      <c r="J1739" s="5" t="s">
        <v>102</v>
      </c>
    </row>
    <row r="1740" spans="1:10" ht="45">
      <c r="A1740" s="27" t="s">
        <v>535</v>
      </c>
      <c r="B1740" s="3" t="s">
        <v>341</v>
      </c>
      <c r="C1740" s="3" t="s">
        <v>60</v>
      </c>
      <c r="D1740" s="22" t="s">
        <v>348</v>
      </c>
      <c r="E1740" s="3" t="s">
        <v>179</v>
      </c>
      <c r="F1740" s="6">
        <v>4825.1000000000004</v>
      </c>
      <c r="G1740" s="6" t="s">
        <v>101</v>
      </c>
      <c r="H1740" s="5">
        <v>75988955.868000016</v>
      </c>
      <c r="I1740" s="22" t="s">
        <v>681</v>
      </c>
      <c r="J1740" s="5" t="s">
        <v>102</v>
      </c>
    </row>
    <row r="1741" spans="1:10" ht="30">
      <c r="A1741" s="27" t="s">
        <v>1787</v>
      </c>
      <c r="B1741" s="3" t="s">
        <v>341</v>
      </c>
      <c r="C1741" s="3" t="s">
        <v>60</v>
      </c>
      <c r="D1741" s="22" t="s">
        <v>831</v>
      </c>
      <c r="E1741" s="3" t="s">
        <v>179</v>
      </c>
      <c r="F1741" s="6">
        <v>250.5</v>
      </c>
      <c r="G1741" s="6" t="s">
        <v>101</v>
      </c>
      <c r="H1741" s="5">
        <v>4089993.66</v>
      </c>
      <c r="I1741" s="22" t="s">
        <v>681</v>
      </c>
      <c r="J1741" s="5" t="s">
        <v>102</v>
      </c>
    </row>
    <row r="1742" spans="1:10" ht="45">
      <c r="A1742" s="27" t="s">
        <v>1788</v>
      </c>
      <c r="B1742" s="3" t="s">
        <v>341</v>
      </c>
      <c r="C1742" s="3" t="s">
        <v>60</v>
      </c>
      <c r="D1742" s="3" t="s">
        <v>344</v>
      </c>
      <c r="E1742" s="3" t="s">
        <v>179</v>
      </c>
      <c r="F1742" s="6">
        <v>744.7</v>
      </c>
      <c r="G1742" s="6" t="s">
        <v>101</v>
      </c>
      <c r="H1742" s="5">
        <v>9599570.2440000009</v>
      </c>
      <c r="I1742" s="22" t="s">
        <v>681</v>
      </c>
      <c r="J1742" s="5" t="s">
        <v>102</v>
      </c>
    </row>
    <row r="1743" spans="1:10" ht="45">
      <c r="A1743" s="27" t="s">
        <v>1789</v>
      </c>
      <c r="B1743" s="3" t="s">
        <v>341</v>
      </c>
      <c r="C1743" s="3" t="s">
        <v>60</v>
      </c>
      <c r="D1743" s="3" t="s">
        <v>345</v>
      </c>
      <c r="E1743" s="3" t="s">
        <v>179</v>
      </c>
      <c r="F1743" s="6">
        <v>756.07</v>
      </c>
      <c r="G1743" s="6" t="s">
        <v>101</v>
      </c>
      <c r="H1743" s="5">
        <v>112290000</v>
      </c>
      <c r="I1743" s="22" t="s">
        <v>681</v>
      </c>
      <c r="J1743" s="5" t="s">
        <v>102</v>
      </c>
    </row>
    <row r="1744" spans="1:10" ht="45">
      <c r="A1744" s="27" t="s">
        <v>1790</v>
      </c>
      <c r="B1744" s="3" t="s">
        <v>341</v>
      </c>
      <c r="C1744" s="3" t="s">
        <v>60</v>
      </c>
      <c r="D1744" s="3" t="s">
        <v>346</v>
      </c>
      <c r="E1744" s="3" t="s">
        <v>336</v>
      </c>
      <c r="F1744" s="6">
        <v>1</v>
      </c>
      <c r="G1744" s="6" t="s">
        <v>101</v>
      </c>
      <c r="H1744" s="5">
        <v>540000</v>
      </c>
      <c r="I1744" s="22" t="s">
        <v>681</v>
      </c>
      <c r="J1744" s="5" t="s">
        <v>102</v>
      </c>
    </row>
    <row r="1745" spans="1:10" ht="30">
      <c r="A1745" s="27" t="s">
        <v>1791</v>
      </c>
      <c r="B1745" s="3" t="s">
        <v>341</v>
      </c>
      <c r="C1745" s="3" t="s">
        <v>60</v>
      </c>
      <c r="D1745" s="3" t="s">
        <v>347</v>
      </c>
      <c r="E1745" s="3" t="s">
        <v>336</v>
      </c>
      <c r="F1745" s="6">
        <v>1</v>
      </c>
      <c r="G1745" s="6" t="s">
        <v>101</v>
      </c>
      <c r="H1745" s="5">
        <v>179580</v>
      </c>
      <c r="I1745" s="22" t="s">
        <v>681</v>
      </c>
      <c r="J1745" s="5" t="s">
        <v>102</v>
      </c>
    </row>
    <row r="1746" spans="1:10" ht="45">
      <c r="A1746" s="27" t="s">
        <v>536</v>
      </c>
      <c r="B1746" s="12" t="s">
        <v>349</v>
      </c>
      <c r="C1746" s="22" t="s">
        <v>60</v>
      </c>
      <c r="D1746" s="3" t="s">
        <v>349</v>
      </c>
      <c r="E1746" s="4" t="s">
        <v>578</v>
      </c>
      <c r="F1746" s="4" t="s">
        <v>578</v>
      </c>
      <c r="G1746" s="3" t="s">
        <v>125</v>
      </c>
      <c r="H1746" s="13">
        <f>SUM(H1747:H1760)</f>
        <v>76799310.562179133</v>
      </c>
      <c r="I1746" s="3" t="s">
        <v>578</v>
      </c>
      <c r="J1746" s="5" t="s">
        <v>102</v>
      </c>
    </row>
    <row r="1747" spans="1:10" ht="30">
      <c r="A1747" s="27" t="s">
        <v>537</v>
      </c>
      <c r="B1747" s="3" t="s">
        <v>352</v>
      </c>
      <c r="C1747" s="3" t="s">
        <v>60</v>
      </c>
      <c r="D1747" s="3" t="s">
        <v>56</v>
      </c>
      <c r="E1747" s="3" t="s">
        <v>336</v>
      </c>
      <c r="F1747" s="6">
        <v>1</v>
      </c>
      <c r="G1747" s="6" t="s">
        <v>211</v>
      </c>
      <c r="H1747" s="5">
        <v>4252157.3590248432</v>
      </c>
      <c r="I1747" s="22" t="s">
        <v>681</v>
      </c>
      <c r="J1747" s="5" t="s">
        <v>102</v>
      </c>
    </row>
    <row r="1748" spans="1:10" ht="30">
      <c r="A1748" s="27" t="s">
        <v>538</v>
      </c>
      <c r="B1748" s="3" t="s">
        <v>352</v>
      </c>
      <c r="C1748" s="3" t="s">
        <v>60</v>
      </c>
      <c r="D1748" s="3" t="s">
        <v>56</v>
      </c>
      <c r="E1748" s="3" t="s">
        <v>336</v>
      </c>
      <c r="F1748" s="6">
        <v>1</v>
      </c>
      <c r="G1748" s="6" t="s">
        <v>282</v>
      </c>
      <c r="H1748" s="5">
        <v>6676176.9489431884</v>
      </c>
      <c r="I1748" s="22" t="s">
        <v>681</v>
      </c>
      <c r="J1748" s="5" t="s">
        <v>102</v>
      </c>
    </row>
    <row r="1749" spans="1:10" ht="30">
      <c r="A1749" s="27" t="s">
        <v>539</v>
      </c>
      <c r="B1749" s="3" t="s">
        <v>352</v>
      </c>
      <c r="C1749" s="3" t="s">
        <v>60</v>
      </c>
      <c r="D1749" s="3" t="s">
        <v>56</v>
      </c>
      <c r="E1749" s="3" t="s">
        <v>336</v>
      </c>
      <c r="F1749" s="6">
        <v>1</v>
      </c>
      <c r="G1749" s="6" t="s">
        <v>271</v>
      </c>
      <c r="H1749" s="5">
        <v>5425603.3714590184</v>
      </c>
      <c r="I1749" s="22" t="s">
        <v>681</v>
      </c>
      <c r="J1749" s="5" t="s">
        <v>102</v>
      </c>
    </row>
    <row r="1750" spans="1:10" ht="30">
      <c r="A1750" s="27" t="s">
        <v>540</v>
      </c>
      <c r="B1750" s="3" t="s">
        <v>352</v>
      </c>
      <c r="C1750" s="3" t="s">
        <v>60</v>
      </c>
      <c r="D1750" s="3" t="s">
        <v>56</v>
      </c>
      <c r="E1750" s="3" t="s">
        <v>336</v>
      </c>
      <c r="F1750" s="6">
        <v>1</v>
      </c>
      <c r="G1750" s="6" t="s">
        <v>272</v>
      </c>
      <c r="H1750" s="5">
        <v>5542605.6210416462</v>
      </c>
      <c r="I1750" s="22" t="s">
        <v>681</v>
      </c>
      <c r="J1750" s="5" t="s">
        <v>102</v>
      </c>
    </row>
    <row r="1751" spans="1:10" ht="30">
      <c r="A1751" s="27" t="s">
        <v>541</v>
      </c>
      <c r="B1751" s="3" t="s">
        <v>352</v>
      </c>
      <c r="C1751" s="3" t="s">
        <v>60</v>
      </c>
      <c r="D1751" s="3" t="s">
        <v>56</v>
      </c>
      <c r="E1751" s="3" t="s">
        <v>336</v>
      </c>
      <c r="F1751" s="6">
        <v>1</v>
      </c>
      <c r="G1751" s="6" t="s">
        <v>275</v>
      </c>
      <c r="H1751" s="5">
        <v>6403529.3116752384</v>
      </c>
      <c r="I1751" s="22" t="s">
        <v>681</v>
      </c>
      <c r="J1751" s="5" t="s">
        <v>102</v>
      </c>
    </row>
    <row r="1752" spans="1:10" ht="45">
      <c r="A1752" s="27" t="s">
        <v>542</v>
      </c>
      <c r="B1752" s="3" t="s">
        <v>352</v>
      </c>
      <c r="C1752" s="3" t="s">
        <v>60</v>
      </c>
      <c r="D1752" s="3" t="s">
        <v>56</v>
      </c>
      <c r="E1752" s="3" t="s">
        <v>336</v>
      </c>
      <c r="F1752" s="6">
        <v>1</v>
      </c>
      <c r="G1752" s="6" t="s">
        <v>279</v>
      </c>
      <c r="H1752" s="5">
        <v>3920523.8490936169</v>
      </c>
      <c r="I1752" s="22" t="s">
        <v>681</v>
      </c>
      <c r="J1752" s="5" t="s">
        <v>102</v>
      </c>
    </row>
    <row r="1753" spans="1:10" ht="30">
      <c r="A1753" s="27" t="s">
        <v>543</v>
      </c>
      <c r="B1753" s="3" t="s">
        <v>352</v>
      </c>
      <c r="C1753" s="3" t="s">
        <v>60</v>
      </c>
      <c r="D1753" s="3" t="s">
        <v>56</v>
      </c>
      <c r="E1753" s="3" t="s">
        <v>336</v>
      </c>
      <c r="F1753" s="6">
        <v>1</v>
      </c>
      <c r="G1753" s="6" t="s">
        <v>273</v>
      </c>
      <c r="H1753" s="5">
        <v>6514439.1452785749</v>
      </c>
      <c r="I1753" s="22" t="s">
        <v>681</v>
      </c>
      <c r="J1753" s="5" t="s">
        <v>102</v>
      </c>
    </row>
    <row r="1754" spans="1:10" ht="30">
      <c r="A1754" s="27" t="s">
        <v>544</v>
      </c>
      <c r="B1754" s="3" t="s">
        <v>352</v>
      </c>
      <c r="C1754" s="3" t="s">
        <v>60</v>
      </c>
      <c r="D1754" s="3" t="s">
        <v>56</v>
      </c>
      <c r="E1754" s="3" t="s">
        <v>336</v>
      </c>
      <c r="F1754" s="6">
        <v>1</v>
      </c>
      <c r="G1754" s="6" t="s">
        <v>274</v>
      </c>
      <c r="H1754" s="5">
        <v>6636486.6084613018</v>
      </c>
      <c r="I1754" s="22" t="s">
        <v>681</v>
      </c>
      <c r="J1754" s="5" t="s">
        <v>102</v>
      </c>
    </row>
    <row r="1755" spans="1:10" ht="30">
      <c r="A1755" s="27" t="s">
        <v>545</v>
      </c>
      <c r="B1755" s="3" t="s">
        <v>352</v>
      </c>
      <c r="C1755" s="3" t="s">
        <v>60</v>
      </c>
      <c r="D1755" s="3" t="s">
        <v>56</v>
      </c>
      <c r="E1755" s="3" t="s">
        <v>336</v>
      </c>
      <c r="F1755" s="6">
        <v>1</v>
      </c>
      <c r="G1755" s="6" t="s">
        <v>276</v>
      </c>
      <c r="H1755" s="5">
        <v>4610289.5074523399</v>
      </c>
      <c r="I1755" s="22" t="s">
        <v>681</v>
      </c>
      <c r="J1755" s="5" t="s">
        <v>102</v>
      </c>
    </row>
    <row r="1756" spans="1:10" ht="45">
      <c r="A1756" s="27" t="s">
        <v>546</v>
      </c>
      <c r="B1756" s="3" t="s">
        <v>352</v>
      </c>
      <c r="C1756" s="3" t="s">
        <v>60</v>
      </c>
      <c r="D1756" s="3" t="s">
        <v>56</v>
      </c>
      <c r="E1756" s="3" t="s">
        <v>336</v>
      </c>
      <c r="F1756" s="6">
        <v>1</v>
      </c>
      <c r="G1756" s="6" t="s">
        <v>278</v>
      </c>
      <c r="H1756" s="5">
        <v>3892196.329103542</v>
      </c>
      <c r="I1756" s="22" t="s">
        <v>681</v>
      </c>
      <c r="J1756" s="5" t="s">
        <v>102</v>
      </c>
    </row>
    <row r="1757" spans="1:10" ht="30">
      <c r="A1757" s="27" t="s">
        <v>547</v>
      </c>
      <c r="B1757" s="3" t="s">
        <v>352</v>
      </c>
      <c r="C1757" s="3" t="s">
        <v>60</v>
      </c>
      <c r="D1757" s="3" t="s">
        <v>56</v>
      </c>
      <c r="E1757" s="3" t="s">
        <v>336</v>
      </c>
      <c r="F1757" s="6">
        <v>1</v>
      </c>
      <c r="G1757" s="6" t="s">
        <v>281</v>
      </c>
      <c r="H1757" s="5">
        <v>5650841.7098910483</v>
      </c>
      <c r="I1757" s="22" t="s">
        <v>681</v>
      </c>
      <c r="J1757" s="5" t="s">
        <v>102</v>
      </c>
    </row>
    <row r="1758" spans="1:10" ht="30">
      <c r="A1758" s="27" t="s">
        <v>548</v>
      </c>
      <c r="B1758" s="3" t="s">
        <v>352</v>
      </c>
      <c r="C1758" s="3" t="s">
        <v>60</v>
      </c>
      <c r="D1758" s="3" t="s">
        <v>56</v>
      </c>
      <c r="E1758" s="3" t="s">
        <v>336</v>
      </c>
      <c r="F1758" s="6">
        <v>1</v>
      </c>
      <c r="G1758" s="6" t="s">
        <v>270</v>
      </c>
      <c r="H1758" s="5">
        <v>4521023.7776494659</v>
      </c>
      <c r="I1758" s="22" t="s">
        <v>681</v>
      </c>
      <c r="J1758" s="5" t="s">
        <v>102</v>
      </c>
    </row>
    <row r="1759" spans="1:10" ht="45">
      <c r="A1759" s="27" t="s">
        <v>549</v>
      </c>
      <c r="B1759" s="3" t="s">
        <v>352</v>
      </c>
      <c r="C1759" s="3" t="s">
        <v>60</v>
      </c>
      <c r="D1759" s="3" t="s">
        <v>56</v>
      </c>
      <c r="E1759" s="3" t="s">
        <v>336</v>
      </c>
      <c r="F1759" s="6">
        <v>1</v>
      </c>
      <c r="G1759" s="6" t="s">
        <v>350</v>
      </c>
      <c r="H1759" s="5">
        <v>6175274.5859988797</v>
      </c>
      <c r="I1759" s="22" t="s">
        <v>681</v>
      </c>
      <c r="J1759" s="5" t="s">
        <v>102</v>
      </c>
    </row>
    <row r="1760" spans="1:10" ht="45">
      <c r="A1760" s="27" t="s">
        <v>550</v>
      </c>
      <c r="B1760" s="3" t="s">
        <v>352</v>
      </c>
      <c r="C1760" s="3" t="s">
        <v>60</v>
      </c>
      <c r="D1760" s="3" t="s">
        <v>56</v>
      </c>
      <c r="E1760" s="3" t="s">
        <v>336</v>
      </c>
      <c r="F1760" s="6">
        <v>1</v>
      </c>
      <c r="G1760" s="6" t="s">
        <v>283</v>
      </c>
      <c r="H1760" s="5">
        <v>6578162.4371064305</v>
      </c>
      <c r="I1760" s="22" t="s">
        <v>681</v>
      </c>
      <c r="J1760" s="5" t="s">
        <v>102</v>
      </c>
    </row>
    <row r="1761" spans="1:10" ht="45">
      <c r="A1761" s="27" t="s">
        <v>1792</v>
      </c>
      <c r="B1761" s="12" t="s">
        <v>832</v>
      </c>
      <c r="C1761" s="22" t="s">
        <v>60</v>
      </c>
      <c r="D1761" s="3" t="s">
        <v>351</v>
      </c>
      <c r="E1761" s="4" t="s">
        <v>578</v>
      </c>
      <c r="F1761" s="4" t="s">
        <v>578</v>
      </c>
      <c r="G1761" s="3" t="s">
        <v>125</v>
      </c>
      <c r="H1761" s="13">
        <f>SUM(H1762:H1799)</f>
        <v>19044707.142857146</v>
      </c>
      <c r="I1761" s="3" t="s">
        <v>578</v>
      </c>
      <c r="J1761" s="5" t="s">
        <v>102</v>
      </c>
    </row>
    <row r="1762" spans="1:10" ht="30">
      <c r="A1762" s="27" t="s">
        <v>1793</v>
      </c>
      <c r="B1762" s="22" t="s">
        <v>590</v>
      </c>
      <c r="C1762" s="22" t="s">
        <v>60</v>
      </c>
      <c r="D1762" s="22" t="s">
        <v>61</v>
      </c>
      <c r="E1762" s="22" t="s">
        <v>336</v>
      </c>
      <c r="F1762" s="6">
        <v>1</v>
      </c>
      <c r="G1762" s="6" t="s">
        <v>271</v>
      </c>
      <c r="H1762" s="5">
        <v>454999.99999999994</v>
      </c>
      <c r="I1762" s="22" t="s">
        <v>681</v>
      </c>
      <c r="J1762" s="5" t="s">
        <v>102</v>
      </c>
    </row>
    <row r="1763" spans="1:10" ht="30">
      <c r="A1763" s="27" t="s">
        <v>1794</v>
      </c>
      <c r="B1763" s="22" t="s">
        <v>590</v>
      </c>
      <c r="C1763" s="3" t="s">
        <v>60</v>
      </c>
      <c r="D1763" s="3" t="s">
        <v>51</v>
      </c>
      <c r="E1763" s="3" t="s">
        <v>336</v>
      </c>
      <c r="F1763" s="6">
        <v>1</v>
      </c>
      <c r="G1763" s="6" t="s">
        <v>271</v>
      </c>
      <c r="H1763" s="5">
        <v>118928.57142857142</v>
      </c>
      <c r="I1763" s="22" t="s">
        <v>681</v>
      </c>
      <c r="J1763" s="5" t="s">
        <v>102</v>
      </c>
    </row>
    <row r="1764" spans="1:10" ht="30">
      <c r="A1764" s="27" t="s">
        <v>1795</v>
      </c>
      <c r="B1764" s="22" t="s">
        <v>590</v>
      </c>
      <c r="C1764" s="22" t="s">
        <v>60</v>
      </c>
      <c r="D1764" s="22" t="s">
        <v>61</v>
      </c>
      <c r="E1764" s="22" t="s">
        <v>336</v>
      </c>
      <c r="F1764" s="6">
        <v>1</v>
      </c>
      <c r="G1764" s="6" t="s">
        <v>276</v>
      </c>
      <c r="H1764" s="5">
        <f>500000-68901.71</f>
        <v>431098.29</v>
      </c>
      <c r="I1764" s="22" t="s">
        <v>681</v>
      </c>
      <c r="J1764" s="5" t="s">
        <v>102</v>
      </c>
    </row>
    <row r="1765" spans="1:10" ht="30">
      <c r="A1765" s="27" t="s">
        <v>1796</v>
      </c>
      <c r="B1765" s="22" t="s">
        <v>590</v>
      </c>
      <c r="C1765" s="3" t="s">
        <v>60</v>
      </c>
      <c r="D1765" s="22" t="s">
        <v>320</v>
      </c>
      <c r="E1765" s="3" t="s">
        <v>336</v>
      </c>
      <c r="F1765" s="6">
        <v>1</v>
      </c>
      <c r="G1765" s="6" t="s">
        <v>276</v>
      </c>
      <c r="H1765" s="5">
        <v>84107.142857142855</v>
      </c>
      <c r="I1765" s="22" t="s">
        <v>681</v>
      </c>
      <c r="J1765" s="5" t="s">
        <v>102</v>
      </c>
    </row>
    <row r="1766" spans="1:10" ht="30">
      <c r="A1766" s="27" t="s">
        <v>1797</v>
      </c>
      <c r="B1766" s="22" t="s">
        <v>590</v>
      </c>
      <c r="C1766" s="3" t="s">
        <v>60</v>
      </c>
      <c r="D1766" s="22" t="s">
        <v>51</v>
      </c>
      <c r="E1766" s="3" t="s">
        <v>336</v>
      </c>
      <c r="F1766" s="6">
        <v>1</v>
      </c>
      <c r="G1766" s="6" t="s">
        <v>276</v>
      </c>
      <c r="H1766" s="5">
        <v>71607.142857142855</v>
      </c>
      <c r="I1766" s="22" t="s">
        <v>681</v>
      </c>
      <c r="J1766" s="5" t="s">
        <v>102</v>
      </c>
    </row>
    <row r="1767" spans="1:10" ht="30">
      <c r="A1767" s="27" t="s">
        <v>1798</v>
      </c>
      <c r="B1767" s="22" t="s">
        <v>590</v>
      </c>
      <c r="C1767" s="22" t="s">
        <v>60</v>
      </c>
      <c r="D1767" s="22" t="s">
        <v>61</v>
      </c>
      <c r="E1767" s="22" t="s">
        <v>336</v>
      </c>
      <c r="F1767" s="6">
        <v>1</v>
      </c>
      <c r="G1767" s="6" t="s">
        <v>273</v>
      </c>
      <c r="H1767" s="5">
        <f>1579642.86-330357.14</f>
        <v>1249285.7200000002</v>
      </c>
      <c r="I1767" s="22" t="s">
        <v>681</v>
      </c>
      <c r="J1767" s="5" t="s">
        <v>102</v>
      </c>
    </row>
    <row r="1768" spans="1:10" ht="45">
      <c r="A1768" s="27" t="s">
        <v>1799</v>
      </c>
      <c r="B1768" s="22" t="s">
        <v>590</v>
      </c>
      <c r="C1768" s="3" t="s">
        <v>60</v>
      </c>
      <c r="D1768" s="3" t="s">
        <v>315</v>
      </c>
      <c r="E1768" s="3" t="s">
        <v>336</v>
      </c>
      <c r="F1768" s="6">
        <v>1</v>
      </c>
      <c r="G1768" s="6" t="s">
        <v>273</v>
      </c>
      <c r="H1768" s="5">
        <v>107232.14</v>
      </c>
      <c r="I1768" s="22" t="s">
        <v>681</v>
      </c>
      <c r="J1768" s="5" t="s">
        <v>102</v>
      </c>
    </row>
    <row r="1769" spans="1:10" ht="45">
      <c r="A1769" s="27" t="s">
        <v>1800</v>
      </c>
      <c r="B1769" s="22" t="s">
        <v>590</v>
      </c>
      <c r="C1769" s="3" t="s">
        <v>60</v>
      </c>
      <c r="D1769" s="3" t="s">
        <v>817</v>
      </c>
      <c r="E1769" s="3" t="s">
        <v>336</v>
      </c>
      <c r="F1769" s="6">
        <v>1</v>
      </c>
      <c r="G1769" s="6" t="s">
        <v>273</v>
      </c>
      <c r="H1769" s="5">
        <v>149553.57</v>
      </c>
      <c r="I1769" s="22" t="s">
        <v>681</v>
      </c>
      <c r="J1769" s="5" t="s">
        <v>102</v>
      </c>
    </row>
    <row r="1770" spans="1:10" ht="60">
      <c r="A1770" s="27" t="s">
        <v>1801</v>
      </c>
      <c r="B1770" s="22" t="s">
        <v>590</v>
      </c>
      <c r="C1770" s="3" t="s">
        <v>60</v>
      </c>
      <c r="D1770" s="3" t="s">
        <v>311</v>
      </c>
      <c r="E1770" s="3" t="s">
        <v>336</v>
      </c>
      <c r="F1770" s="6">
        <v>1</v>
      </c>
      <c r="G1770" s="6" t="s">
        <v>353</v>
      </c>
      <c r="H1770" s="5">
        <v>278571.42857142852</v>
      </c>
      <c r="I1770" s="22" t="s">
        <v>681</v>
      </c>
      <c r="J1770" s="5" t="s">
        <v>102</v>
      </c>
    </row>
    <row r="1771" spans="1:10" ht="30">
      <c r="A1771" s="27" t="s">
        <v>1802</v>
      </c>
      <c r="B1771" s="22" t="s">
        <v>590</v>
      </c>
      <c r="C1771" s="3" t="s">
        <v>60</v>
      </c>
      <c r="D1771" s="22" t="s">
        <v>61</v>
      </c>
      <c r="E1771" s="3" t="s">
        <v>336</v>
      </c>
      <c r="F1771" s="6">
        <v>1</v>
      </c>
      <c r="G1771" s="6" t="s">
        <v>211</v>
      </c>
      <c r="H1771" s="5">
        <f>1223214.29-26784</f>
        <v>1196430.29</v>
      </c>
      <c r="I1771" s="22" t="s">
        <v>681</v>
      </c>
      <c r="J1771" s="5" t="s">
        <v>102</v>
      </c>
    </row>
    <row r="1772" spans="1:10" ht="30">
      <c r="A1772" s="27" t="s">
        <v>1803</v>
      </c>
      <c r="B1772" s="22" t="s">
        <v>590</v>
      </c>
      <c r="C1772" s="3" t="s">
        <v>60</v>
      </c>
      <c r="D1772" s="22" t="s">
        <v>61</v>
      </c>
      <c r="E1772" s="3" t="s">
        <v>336</v>
      </c>
      <c r="F1772" s="6">
        <v>1</v>
      </c>
      <c r="G1772" s="6" t="s">
        <v>270</v>
      </c>
      <c r="H1772" s="5">
        <f>895535.71-187500-84000</f>
        <v>624035.71</v>
      </c>
      <c r="I1772" s="22" t="s">
        <v>681</v>
      </c>
      <c r="J1772" s="5" t="s">
        <v>102</v>
      </c>
    </row>
    <row r="1773" spans="1:10" ht="45">
      <c r="A1773" s="27" t="s">
        <v>1804</v>
      </c>
      <c r="B1773" s="51" t="s">
        <v>590</v>
      </c>
      <c r="C1773" s="3" t="s">
        <v>60</v>
      </c>
      <c r="D1773" s="22" t="s">
        <v>61</v>
      </c>
      <c r="E1773" s="3" t="s">
        <v>336</v>
      </c>
      <c r="F1773" s="6">
        <v>1</v>
      </c>
      <c r="G1773" s="6" t="s">
        <v>283</v>
      </c>
      <c r="H1773" s="5">
        <v>916071.42857142852</v>
      </c>
      <c r="I1773" s="22" t="s">
        <v>681</v>
      </c>
      <c r="J1773" s="5" t="s">
        <v>102</v>
      </c>
    </row>
    <row r="1774" spans="1:10" ht="45">
      <c r="A1774" s="27" t="s">
        <v>1805</v>
      </c>
      <c r="B1774" s="22" t="s">
        <v>590</v>
      </c>
      <c r="C1774" s="22" t="s">
        <v>60</v>
      </c>
      <c r="D1774" s="22" t="s">
        <v>61</v>
      </c>
      <c r="E1774" s="22" t="s">
        <v>336</v>
      </c>
      <c r="F1774" s="6">
        <v>1</v>
      </c>
      <c r="G1774" s="6" t="s">
        <v>278</v>
      </c>
      <c r="H1774" s="5">
        <v>1313392.8600000001</v>
      </c>
      <c r="I1774" s="22" t="s">
        <v>681</v>
      </c>
      <c r="J1774" s="5" t="s">
        <v>102</v>
      </c>
    </row>
    <row r="1775" spans="1:10" ht="45">
      <c r="A1775" s="27" t="s">
        <v>1806</v>
      </c>
      <c r="B1775" s="22" t="s">
        <v>590</v>
      </c>
      <c r="C1775" s="3" t="s">
        <v>60</v>
      </c>
      <c r="D1775" s="3" t="s">
        <v>833</v>
      </c>
      <c r="E1775" s="3" t="s">
        <v>336</v>
      </c>
      <c r="F1775" s="6">
        <v>1</v>
      </c>
      <c r="G1775" s="6" t="s">
        <v>278</v>
      </c>
      <c r="H1775" s="5">
        <v>279464.28000000003</v>
      </c>
      <c r="I1775" s="22" t="s">
        <v>681</v>
      </c>
      <c r="J1775" s="5" t="s">
        <v>102</v>
      </c>
    </row>
    <row r="1776" spans="1:10" ht="30">
      <c r="A1776" s="27" t="s">
        <v>1807</v>
      </c>
      <c r="B1776" s="22" t="s">
        <v>590</v>
      </c>
      <c r="C1776" s="3" t="s">
        <v>60</v>
      </c>
      <c r="D1776" s="22" t="s">
        <v>3123</v>
      </c>
      <c r="E1776" s="3" t="s">
        <v>336</v>
      </c>
      <c r="F1776" s="6">
        <v>1</v>
      </c>
      <c r="G1776" s="6" t="s">
        <v>281</v>
      </c>
      <c r="H1776" s="5">
        <v>917857.14285714272</v>
      </c>
      <c r="I1776" s="22" t="s">
        <v>681</v>
      </c>
      <c r="J1776" s="5" t="s">
        <v>102</v>
      </c>
    </row>
    <row r="1777" spans="1:10" ht="30">
      <c r="A1777" s="27" t="s">
        <v>1808</v>
      </c>
      <c r="B1777" s="22" t="s">
        <v>590</v>
      </c>
      <c r="C1777" s="22" t="s">
        <v>60</v>
      </c>
      <c r="D1777" s="22" t="s">
        <v>61</v>
      </c>
      <c r="E1777" s="22" t="s">
        <v>336</v>
      </c>
      <c r="F1777" s="6">
        <v>1</v>
      </c>
      <c r="G1777" s="6" t="s">
        <v>275</v>
      </c>
      <c r="H1777" s="5">
        <f>2223214.29-312500+84000+96000</f>
        <v>2090714.29</v>
      </c>
      <c r="I1777" s="22" t="s">
        <v>681</v>
      </c>
      <c r="J1777" s="5" t="s">
        <v>102</v>
      </c>
    </row>
    <row r="1778" spans="1:10" ht="30">
      <c r="A1778" s="27" t="s">
        <v>1809</v>
      </c>
      <c r="B1778" s="22" t="s">
        <v>590</v>
      </c>
      <c r="C1778" s="3" t="s">
        <v>60</v>
      </c>
      <c r="D1778" s="3" t="s">
        <v>834</v>
      </c>
      <c r="E1778" s="3" t="s">
        <v>336</v>
      </c>
      <c r="F1778" s="6">
        <v>1</v>
      </c>
      <c r="G1778" s="6" t="s">
        <v>275</v>
      </c>
      <c r="H1778" s="5">
        <v>511607.14285714278</v>
      </c>
      <c r="I1778" s="22" t="s">
        <v>681</v>
      </c>
      <c r="J1778" s="5" t="s">
        <v>102</v>
      </c>
    </row>
    <row r="1779" spans="1:10" ht="30">
      <c r="A1779" s="27" t="s">
        <v>1810</v>
      </c>
      <c r="B1779" s="22" t="s">
        <v>590</v>
      </c>
      <c r="C1779" s="3" t="s">
        <v>60</v>
      </c>
      <c r="D1779" s="3" t="s">
        <v>818</v>
      </c>
      <c r="E1779" s="3" t="s">
        <v>336</v>
      </c>
      <c r="F1779" s="6">
        <v>1</v>
      </c>
      <c r="G1779" s="6" t="s">
        <v>275</v>
      </c>
      <c r="H1779" s="5">
        <v>511607.14285714278</v>
      </c>
      <c r="I1779" s="22" t="s">
        <v>681</v>
      </c>
      <c r="J1779" s="5" t="s">
        <v>102</v>
      </c>
    </row>
    <row r="1780" spans="1:10" ht="30">
      <c r="A1780" s="27" t="s">
        <v>1811</v>
      </c>
      <c r="B1780" s="51" t="s">
        <v>590</v>
      </c>
      <c r="C1780" s="3" t="s">
        <v>60</v>
      </c>
      <c r="D1780" s="22" t="s">
        <v>61</v>
      </c>
      <c r="E1780" s="3" t="s">
        <v>336</v>
      </c>
      <c r="F1780" s="6">
        <v>1</v>
      </c>
      <c r="G1780" s="6" t="s">
        <v>282</v>
      </c>
      <c r="H1780" s="5">
        <f>1002028.57-178571.43</f>
        <v>823457.1399999999</v>
      </c>
      <c r="I1780" s="22" t="s">
        <v>681</v>
      </c>
      <c r="J1780" s="5" t="s">
        <v>102</v>
      </c>
    </row>
    <row r="1781" spans="1:10" ht="30">
      <c r="A1781" s="27" t="s">
        <v>1812</v>
      </c>
      <c r="B1781" s="22" t="s">
        <v>590</v>
      </c>
      <c r="C1781" s="22" t="s">
        <v>60</v>
      </c>
      <c r="D1781" s="22" t="s">
        <v>61</v>
      </c>
      <c r="E1781" s="22" t="s">
        <v>336</v>
      </c>
      <c r="F1781" s="6">
        <v>1</v>
      </c>
      <c r="G1781" s="6" t="s">
        <v>272</v>
      </c>
      <c r="H1781" s="5">
        <f>809285.71-39682.14</f>
        <v>769603.57</v>
      </c>
      <c r="I1781" s="22" t="s">
        <v>681</v>
      </c>
      <c r="J1781" s="5" t="s">
        <v>102</v>
      </c>
    </row>
    <row r="1782" spans="1:10" ht="30">
      <c r="A1782" s="27" t="s">
        <v>1813</v>
      </c>
      <c r="B1782" s="22" t="s">
        <v>590</v>
      </c>
      <c r="C1782" s="3" t="s">
        <v>60</v>
      </c>
      <c r="D1782" s="3" t="s">
        <v>53</v>
      </c>
      <c r="E1782" s="3" t="s">
        <v>336</v>
      </c>
      <c r="F1782" s="6">
        <v>1</v>
      </c>
      <c r="G1782" s="6" t="s">
        <v>272</v>
      </c>
      <c r="H1782" s="5">
        <v>250892.85714285713</v>
      </c>
      <c r="I1782" s="22" t="s">
        <v>681</v>
      </c>
      <c r="J1782" s="5" t="s">
        <v>102</v>
      </c>
    </row>
    <row r="1783" spans="1:10" ht="30">
      <c r="A1783" s="27" t="s">
        <v>1814</v>
      </c>
      <c r="B1783" s="22" t="s">
        <v>590</v>
      </c>
      <c r="C1783" s="3" t="s">
        <v>60</v>
      </c>
      <c r="D1783" s="22" t="s">
        <v>51</v>
      </c>
      <c r="E1783" s="3" t="s">
        <v>336</v>
      </c>
      <c r="F1783" s="6">
        <v>1</v>
      </c>
      <c r="G1783" s="6" t="s">
        <v>272</v>
      </c>
      <c r="H1783" s="5">
        <v>250892.85714285713</v>
      </c>
      <c r="I1783" s="22" t="s">
        <v>681</v>
      </c>
      <c r="J1783" s="5" t="s">
        <v>102</v>
      </c>
    </row>
    <row r="1784" spans="1:10" ht="30">
      <c r="A1784" s="27" t="s">
        <v>1815</v>
      </c>
      <c r="B1784" s="22" t="s">
        <v>590</v>
      </c>
      <c r="C1784" s="3" t="s">
        <v>60</v>
      </c>
      <c r="D1784" s="3" t="s">
        <v>52</v>
      </c>
      <c r="E1784" s="3" t="s">
        <v>336</v>
      </c>
      <c r="F1784" s="6">
        <v>1</v>
      </c>
      <c r="G1784" s="6" t="s">
        <v>272</v>
      </c>
      <c r="H1784" s="5">
        <v>250892.85714285713</v>
      </c>
      <c r="I1784" s="22" t="s">
        <v>681</v>
      </c>
      <c r="J1784" s="5" t="s">
        <v>102</v>
      </c>
    </row>
    <row r="1785" spans="1:10" ht="30">
      <c r="A1785" s="27" t="s">
        <v>1816</v>
      </c>
      <c r="B1785" s="22" t="s">
        <v>590</v>
      </c>
      <c r="C1785" s="3" t="s">
        <v>60</v>
      </c>
      <c r="D1785" s="51" t="s">
        <v>835</v>
      </c>
      <c r="E1785" s="3" t="s">
        <v>336</v>
      </c>
      <c r="F1785" s="6">
        <v>1</v>
      </c>
      <c r="G1785" s="6" t="s">
        <v>277</v>
      </c>
      <c r="H1785" s="5">
        <v>35357.142857142855</v>
      </c>
      <c r="I1785" s="22" t="s">
        <v>681</v>
      </c>
      <c r="J1785" s="5" t="s">
        <v>102</v>
      </c>
    </row>
    <row r="1786" spans="1:10" ht="30">
      <c r="A1786" s="27" t="s">
        <v>1817</v>
      </c>
      <c r="B1786" s="22" t="s">
        <v>590</v>
      </c>
      <c r="C1786" s="3" t="s">
        <v>60</v>
      </c>
      <c r="D1786" s="51" t="s">
        <v>836</v>
      </c>
      <c r="E1786" s="3" t="s">
        <v>336</v>
      </c>
      <c r="F1786" s="6">
        <v>1</v>
      </c>
      <c r="G1786" s="6" t="s">
        <v>277</v>
      </c>
      <c r="H1786" s="5">
        <v>157321.42857142855</v>
      </c>
      <c r="I1786" s="22" t="s">
        <v>681</v>
      </c>
      <c r="J1786" s="5" t="s">
        <v>102</v>
      </c>
    </row>
    <row r="1787" spans="1:10" ht="30">
      <c r="A1787" s="27" t="s">
        <v>1818</v>
      </c>
      <c r="B1787" s="22" t="s">
        <v>590</v>
      </c>
      <c r="C1787" s="3" t="s">
        <v>60</v>
      </c>
      <c r="D1787" s="51" t="s">
        <v>53</v>
      </c>
      <c r="E1787" s="3" t="s">
        <v>336</v>
      </c>
      <c r="F1787" s="6">
        <v>1</v>
      </c>
      <c r="G1787" s="6" t="s">
        <v>277</v>
      </c>
      <c r="H1787" s="5">
        <v>136250</v>
      </c>
      <c r="I1787" s="22" t="s">
        <v>681</v>
      </c>
      <c r="J1787" s="5" t="s">
        <v>102</v>
      </c>
    </row>
    <row r="1788" spans="1:10" ht="45">
      <c r="A1788" s="27" t="s">
        <v>1819</v>
      </c>
      <c r="B1788" s="22" t="s">
        <v>590</v>
      </c>
      <c r="C1788" s="22" t="s">
        <v>60</v>
      </c>
      <c r="D1788" s="22" t="s">
        <v>61</v>
      </c>
      <c r="E1788" s="22" t="s">
        <v>336</v>
      </c>
      <c r="F1788" s="6">
        <v>1</v>
      </c>
      <c r="G1788" s="52" t="s">
        <v>279</v>
      </c>
      <c r="H1788" s="5">
        <f>1301785.71-330357.14-96000</f>
        <v>875428.57</v>
      </c>
      <c r="I1788" s="22" t="s">
        <v>681</v>
      </c>
      <c r="J1788" s="5" t="s">
        <v>102</v>
      </c>
    </row>
    <row r="1789" spans="1:10" ht="45">
      <c r="A1789" s="27" t="s">
        <v>1820</v>
      </c>
      <c r="B1789" s="22" t="s">
        <v>590</v>
      </c>
      <c r="C1789" s="3" t="s">
        <v>60</v>
      </c>
      <c r="D1789" s="3" t="s">
        <v>53</v>
      </c>
      <c r="E1789" s="3" t="s">
        <v>336</v>
      </c>
      <c r="F1789" s="6">
        <v>1</v>
      </c>
      <c r="G1789" s="6" t="s">
        <v>279</v>
      </c>
      <c r="H1789" s="5">
        <v>233035.71428571426</v>
      </c>
      <c r="I1789" s="22" t="s">
        <v>681</v>
      </c>
      <c r="J1789" s="5" t="s">
        <v>102</v>
      </c>
    </row>
    <row r="1790" spans="1:10" ht="45">
      <c r="A1790" s="27" t="s">
        <v>1821</v>
      </c>
      <c r="B1790" s="22" t="s">
        <v>590</v>
      </c>
      <c r="C1790" s="3" t="s">
        <v>60</v>
      </c>
      <c r="D1790" s="22" t="s">
        <v>51</v>
      </c>
      <c r="E1790" s="3" t="s">
        <v>336</v>
      </c>
      <c r="F1790" s="6">
        <v>1</v>
      </c>
      <c r="G1790" s="6" t="s">
        <v>279</v>
      </c>
      <c r="H1790" s="5">
        <v>279285.71428571426</v>
      </c>
      <c r="I1790" s="22" t="s">
        <v>681</v>
      </c>
      <c r="J1790" s="5" t="s">
        <v>102</v>
      </c>
    </row>
    <row r="1791" spans="1:10" ht="45">
      <c r="A1791" s="27" t="s">
        <v>1822</v>
      </c>
      <c r="B1791" s="22" t="s">
        <v>590</v>
      </c>
      <c r="C1791" s="3" t="s">
        <v>60</v>
      </c>
      <c r="D1791" s="3" t="s">
        <v>52</v>
      </c>
      <c r="E1791" s="3" t="s">
        <v>336</v>
      </c>
      <c r="F1791" s="6">
        <v>1</v>
      </c>
      <c r="G1791" s="6" t="s">
        <v>279</v>
      </c>
      <c r="H1791" s="5">
        <v>279285.71428571426</v>
      </c>
      <c r="I1791" s="22" t="s">
        <v>681</v>
      </c>
      <c r="J1791" s="5" t="s">
        <v>102</v>
      </c>
    </row>
    <row r="1792" spans="1:10" ht="30">
      <c r="A1792" s="27" t="s">
        <v>1823</v>
      </c>
      <c r="B1792" s="22" t="s">
        <v>590</v>
      </c>
      <c r="C1792" s="3" t="s">
        <v>60</v>
      </c>
      <c r="D1792" s="22" t="s">
        <v>61</v>
      </c>
      <c r="E1792" s="3" t="s">
        <v>336</v>
      </c>
      <c r="F1792" s="6">
        <v>1</v>
      </c>
      <c r="G1792" s="6" t="s">
        <v>837</v>
      </c>
      <c r="H1792" s="5">
        <v>75000</v>
      </c>
      <c r="I1792" s="22" t="s">
        <v>681</v>
      </c>
      <c r="J1792" s="5" t="s">
        <v>102</v>
      </c>
    </row>
    <row r="1793" spans="1:10" ht="30">
      <c r="A1793" s="27" t="s">
        <v>1824</v>
      </c>
      <c r="B1793" s="22" t="s">
        <v>590</v>
      </c>
      <c r="C1793" s="22" t="s">
        <v>60</v>
      </c>
      <c r="D1793" s="22" t="s">
        <v>61</v>
      </c>
      <c r="E1793" s="22" t="s">
        <v>336</v>
      </c>
      <c r="F1793" s="6">
        <v>1</v>
      </c>
      <c r="G1793" s="6" t="s">
        <v>274</v>
      </c>
      <c r="H1793" s="5">
        <f>979821.43-178571.43</f>
        <v>801250</v>
      </c>
      <c r="I1793" s="22" t="s">
        <v>681</v>
      </c>
      <c r="J1793" s="5" t="s">
        <v>102</v>
      </c>
    </row>
    <row r="1794" spans="1:10" ht="30">
      <c r="A1794" s="27" t="s">
        <v>1825</v>
      </c>
      <c r="B1794" s="22" t="s">
        <v>590</v>
      </c>
      <c r="C1794" s="3" t="s">
        <v>60</v>
      </c>
      <c r="D1794" s="3" t="s">
        <v>838</v>
      </c>
      <c r="E1794" s="3" t="s">
        <v>336</v>
      </c>
      <c r="F1794" s="6">
        <v>1</v>
      </c>
      <c r="G1794" s="6" t="s">
        <v>274</v>
      </c>
      <c r="H1794" s="5">
        <v>105089.28571428571</v>
      </c>
      <c r="I1794" s="22" t="s">
        <v>681</v>
      </c>
      <c r="J1794" s="5" t="s">
        <v>102</v>
      </c>
    </row>
    <row r="1795" spans="1:10" ht="45">
      <c r="A1795" s="27" t="s">
        <v>1826</v>
      </c>
      <c r="B1795" s="22" t="s">
        <v>590</v>
      </c>
      <c r="C1795" s="22" t="s">
        <v>60</v>
      </c>
      <c r="D1795" s="22" t="s">
        <v>61</v>
      </c>
      <c r="E1795" s="22" t="s">
        <v>336</v>
      </c>
      <c r="F1795" s="6">
        <v>1</v>
      </c>
      <c r="G1795" s="6" t="s">
        <v>350</v>
      </c>
      <c r="H1795" s="5">
        <f>655357.14-87702.93+26784</f>
        <v>594438.21</v>
      </c>
      <c r="I1795" s="22" t="s">
        <v>681</v>
      </c>
      <c r="J1795" s="5" t="s">
        <v>102</v>
      </c>
    </row>
    <row r="1796" spans="1:10" ht="45">
      <c r="A1796" s="27" t="s">
        <v>1827</v>
      </c>
      <c r="B1796" s="22" t="s">
        <v>590</v>
      </c>
      <c r="C1796" s="3" t="s">
        <v>60</v>
      </c>
      <c r="D1796" s="22" t="s">
        <v>51</v>
      </c>
      <c r="E1796" s="3" t="s">
        <v>336</v>
      </c>
      <c r="F1796" s="6">
        <v>1</v>
      </c>
      <c r="G1796" s="52" t="s">
        <v>350</v>
      </c>
      <c r="H1796" s="5">
        <f>57946.43+87702.93</f>
        <v>145649.35999999999</v>
      </c>
      <c r="I1796" s="22" t="s">
        <v>681</v>
      </c>
      <c r="J1796" s="5" t="s">
        <v>102</v>
      </c>
    </row>
    <row r="1797" spans="1:10" ht="45">
      <c r="A1797" s="27" t="s">
        <v>1828</v>
      </c>
      <c r="B1797" s="22" t="s">
        <v>590</v>
      </c>
      <c r="C1797" s="3" t="s">
        <v>60</v>
      </c>
      <c r="D1797" s="22" t="s">
        <v>52</v>
      </c>
      <c r="E1797" s="3" t="s">
        <v>336</v>
      </c>
      <c r="F1797" s="6">
        <v>1</v>
      </c>
      <c r="G1797" s="52" t="s">
        <v>350</v>
      </c>
      <c r="H1797" s="5">
        <v>48571.428571428565</v>
      </c>
      <c r="I1797" s="22" t="s">
        <v>681</v>
      </c>
      <c r="J1797" s="5" t="s">
        <v>102</v>
      </c>
    </row>
    <row r="1798" spans="1:10" ht="30">
      <c r="A1798" s="19" t="s">
        <v>3159</v>
      </c>
      <c r="B1798" s="22" t="s">
        <v>590</v>
      </c>
      <c r="C1798" s="22" t="s">
        <v>60</v>
      </c>
      <c r="D1798" s="22" t="s">
        <v>61</v>
      </c>
      <c r="E1798" s="22" t="s">
        <v>336</v>
      </c>
      <c r="F1798" s="6">
        <v>2</v>
      </c>
      <c r="G1798" s="6" t="s">
        <v>332</v>
      </c>
      <c r="H1798" s="5">
        <v>584325</v>
      </c>
      <c r="I1798" s="22" t="s">
        <v>681</v>
      </c>
      <c r="J1798" s="5" t="s">
        <v>102</v>
      </c>
    </row>
    <row r="1799" spans="1:10" ht="30">
      <c r="A1799" s="19" t="s">
        <v>3160</v>
      </c>
      <c r="B1799" s="22" t="s">
        <v>590</v>
      </c>
      <c r="C1799" s="22" t="s">
        <v>60</v>
      </c>
      <c r="D1799" s="22" t="s">
        <v>2149</v>
      </c>
      <c r="E1799" s="22" t="s">
        <v>336</v>
      </c>
      <c r="F1799" s="6">
        <v>1</v>
      </c>
      <c r="G1799" s="6" t="s">
        <v>277</v>
      </c>
      <c r="H1799" s="5">
        <v>1042116</v>
      </c>
      <c r="I1799" s="22" t="s">
        <v>681</v>
      </c>
      <c r="J1799" s="5" t="s">
        <v>102</v>
      </c>
    </row>
    <row r="1800" spans="1:10" ht="30">
      <c r="A1800" s="27" t="s">
        <v>1829</v>
      </c>
      <c r="B1800" s="21" t="s">
        <v>355</v>
      </c>
      <c r="C1800" s="3" t="s">
        <v>60</v>
      </c>
      <c r="D1800" s="3" t="s">
        <v>355</v>
      </c>
      <c r="E1800" s="3" t="s">
        <v>3</v>
      </c>
      <c r="F1800" s="3" t="s">
        <v>3</v>
      </c>
      <c r="G1800" s="3" t="s">
        <v>297</v>
      </c>
      <c r="H1800" s="13">
        <v>34052000</v>
      </c>
      <c r="I1800" s="3" t="s">
        <v>2</v>
      </c>
      <c r="J1800" s="5" t="s">
        <v>102</v>
      </c>
    </row>
    <row r="1801" spans="1:10">
      <c r="A1801" s="27" t="s">
        <v>1830</v>
      </c>
      <c r="B1801" s="12" t="s">
        <v>358</v>
      </c>
      <c r="C1801" s="4" t="s">
        <v>60</v>
      </c>
      <c r="D1801" s="3" t="s">
        <v>358</v>
      </c>
      <c r="E1801" s="4" t="s">
        <v>578</v>
      </c>
      <c r="F1801" s="4" t="s">
        <v>578</v>
      </c>
      <c r="G1801" s="4" t="s">
        <v>101</v>
      </c>
      <c r="H1801" s="13">
        <f>SUM(H1802:H1805)</f>
        <v>106415196.01000001</v>
      </c>
      <c r="I1801" s="22" t="s">
        <v>578</v>
      </c>
      <c r="J1801" s="5" t="s">
        <v>102</v>
      </c>
    </row>
    <row r="1802" spans="1:10" ht="60">
      <c r="A1802" s="27" t="s">
        <v>1831</v>
      </c>
      <c r="B1802" s="3" t="s">
        <v>360</v>
      </c>
      <c r="C1802" s="3" t="s">
        <v>60</v>
      </c>
      <c r="D1802" s="3" t="s">
        <v>356</v>
      </c>
      <c r="E1802" s="3" t="s">
        <v>336</v>
      </c>
      <c r="F1802" s="6">
        <v>1</v>
      </c>
      <c r="G1802" s="3" t="s">
        <v>297</v>
      </c>
      <c r="H1802" s="5">
        <f>2724797+398678</f>
        <v>3123475</v>
      </c>
      <c r="I1802" s="3" t="s">
        <v>681</v>
      </c>
      <c r="J1802" s="5" t="s">
        <v>102</v>
      </c>
    </row>
    <row r="1803" spans="1:10" ht="30">
      <c r="A1803" s="27" t="s">
        <v>1832</v>
      </c>
      <c r="B1803" s="3" t="s">
        <v>359</v>
      </c>
      <c r="C1803" s="3" t="s">
        <v>60</v>
      </c>
      <c r="D1803" s="3" t="s">
        <v>4</v>
      </c>
      <c r="E1803" s="3" t="s">
        <v>336</v>
      </c>
      <c r="F1803" s="6">
        <v>1</v>
      </c>
      <c r="G1803" s="3" t="s">
        <v>297</v>
      </c>
      <c r="H1803" s="5">
        <f>89920000+8320000</f>
        <v>98240000</v>
      </c>
      <c r="I1803" s="22" t="s">
        <v>681</v>
      </c>
      <c r="J1803" s="5" t="s">
        <v>102</v>
      </c>
    </row>
    <row r="1804" spans="1:10" ht="30">
      <c r="A1804" s="27" t="s">
        <v>1833</v>
      </c>
      <c r="B1804" s="3" t="s">
        <v>357</v>
      </c>
      <c r="C1804" s="3" t="s">
        <v>60</v>
      </c>
      <c r="D1804" s="3" t="s">
        <v>357</v>
      </c>
      <c r="E1804" s="3" t="s">
        <v>336</v>
      </c>
      <c r="F1804" s="6">
        <v>1</v>
      </c>
      <c r="G1804" s="3" t="s">
        <v>297</v>
      </c>
      <c r="H1804" s="5">
        <f>1875000+125000</f>
        <v>2000000</v>
      </c>
      <c r="I1804" s="22" t="s">
        <v>681</v>
      </c>
      <c r="J1804" s="5" t="s">
        <v>102</v>
      </c>
    </row>
    <row r="1805" spans="1:10" ht="45">
      <c r="A1805" s="27" t="s">
        <v>1834</v>
      </c>
      <c r="B1805" s="22" t="s">
        <v>1065</v>
      </c>
      <c r="C1805" s="22" t="s">
        <v>60</v>
      </c>
      <c r="D1805" s="22" t="s">
        <v>1064</v>
      </c>
      <c r="E1805" s="22" t="s">
        <v>336</v>
      </c>
      <c r="F1805" s="6">
        <v>1</v>
      </c>
      <c r="G1805" s="22" t="s">
        <v>125</v>
      </c>
      <c r="H1805" s="5">
        <v>3051721.01</v>
      </c>
      <c r="I1805" s="22" t="s">
        <v>681</v>
      </c>
      <c r="J1805" s="5" t="s">
        <v>102</v>
      </c>
    </row>
    <row r="1806" spans="1:10">
      <c r="A1806" s="27" t="s">
        <v>551</v>
      </c>
      <c r="B1806" s="12" t="s">
        <v>361</v>
      </c>
      <c r="C1806" s="4" t="s">
        <v>578</v>
      </c>
      <c r="D1806" s="3" t="s">
        <v>361</v>
      </c>
      <c r="E1806" s="4" t="s">
        <v>578</v>
      </c>
      <c r="F1806" s="4" t="s">
        <v>578</v>
      </c>
      <c r="G1806" s="4" t="s">
        <v>101</v>
      </c>
      <c r="H1806" s="13">
        <f>SUM(H1807:H1858)</f>
        <v>1821381568.8</v>
      </c>
      <c r="I1806" s="22" t="s">
        <v>578</v>
      </c>
      <c r="J1806" s="5" t="s">
        <v>102</v>
      </c>
    </row>
    <row r="1807" spans="1:10" ht="105">
      <c r="A1807" s="27" t="s">
        <v>552</v>
      </c>
      <c r="B1807" s="3" t="s">
        <v>1067</v>
      </c>
      <c r="C1807" s="3" t="s">
        <v>60</v>
      </c>
      <c r="D1807" s="22" t="s">
        <v>1066</v>
      </c>
      <c r="E1807" s="3" t="s">
        <v>336</v>
      </c>
      <c r="F1807" s="6">
        <v>1</v>
      </c>
      <c r="G1807" s="3" t="s">
        <v>297</v>
      </c>
      <c r="H1807" s="5">
        <f>620805232.14-119196428.57-24879553.57-218100926.78-387414</f>
        <v>258240909.22</v>
      </c>
      <c r="I1807" s="22" t="s">
        <v>2</v>
      </c>
      <c r="J1807" s="5" t="s">
        <v>102</v>
      </c>
    </row>
    <row r="1808" spans="1:10" ht="45">
      <c r="A1808" s="27" t="s">
        <v>553</v>
      </c>
      <c r="B1808" s="3" t="s">
        <v>2148</v>
      </c>
      <c r="C1808" s="22" t="s">
        <v>58</v>
      </c>
      <c r="D1808" s="22" t="s">
        <v>1068</v>
      </c>
      <c r="E1808" s="3" t="s">
        <v>336</v>
      </c>
      <c r="F1808" s="6">
        <v>1</v>
      </c>
      <c r="G1808" s="3" t="s">
        <v>297</v>
      </c>
      <c r="H1808" s="5">
        <v>181966696.49000001</v>
      </c>
      <c r="I1808" s="22" t="s">
        <v>2</v>
      </c>
      <c r="J1808" s="5" t="s">
        <v>102</v>
      </c>
    </row>
    <row r="1809" spans="1:10" ht="60">
      <c r="A1809" s="27" t="s">
        <v>554</v>
      </c>
      <c r="B1809" s="3" t="s">
        <v>1070</v>
      </c>
      <c r="C1809" s="22" t="s">
        <v>58</v>
      </c>
      <c r="D1809" s="3" t="s">
        <v>1069</v>
      </c>
      <c r="E1809" s="3" t="s">
        <v>336</v>
      </c>
      <c r="F1809" s="6">
        <v>1</v>
      </c>
      <c r="G1809" s="3" t="s">
        <v>297</v>
      </c>
      <c r="H1809" s="5">
        <f>209331353.57-26899756.88</f>
        <v>182431596.69</v>
      </c>
      <c r="I1809" s="22" t="s">
        <v>2</v>
      </c>
      <c r="J1809" s="5" t="s">
        <v>102</v>
      </c>
    </row>
    <row r="1810" spans="1:10" ht="75">
      <c r="A1810" s="27" t="s">
        <v>555</v>
      </c>
      <c r="B1810" s="22" t="s">
        <v>1072</v>
      </c>
      <c r="C1810" s="22" t="s">
        <v>58</v>
      </c>
      <c r="D1810" s="22" t="s">
        <v>1071</v>
      </c>
      <c r="E1810" s="3" t="s">
        <v>336</v>
      </c>
      <c r="F1810" s="6">
        <v>1</v>
      </c>
      <c r="G1810" s="3" t="s">
        <v>297</v>
      </c>
      <c r="H1810" s="5">
        <v>12998935.710000001</v>
      </c>
      <c r="I1810" s="22" t="s">
        <v>2</v>
      </c>
      <c r="J1810" s="5" t="s">
        <v>102</v>
      </c>
    </row>
    <row r="1811" spans="1:10">
      <c r="A1811" s="27" t="s">
        <v>556</v>
      </c>
      <c r="B1811" s="22" t="s">
        <v>1076</v>
      </c>
      <c r="C1811" s="22" t="s">
        <v>58</v>
      </c>
      <c r="D1811" s="22" t="s">
        <v>1082</v>
      </c>
      <c r="E1811" s="3" t="s">
        <v>336</v>
      </c>
      <c r="F1811" s="6">
        <v>1</v>
      </c>
      <c r="G1811" s="3" t="s">
        <v>297</v>
      </c>
      <c r="H1811" s="5">
        <v>120535.71</v>
      </c>
      <c r="I1811" s="22" t="s">
        <v>2</v>
      </c>
      <c r="J1811" s="5" t="s">
        <v>102</v>
      </c>
    </row>
    <row r="1812" spans="1:10">
      <c r="A1812" s="27" t="s">
        <v>557</v>
      </c>
      <c r="B1812" s="22" t="s">
        <v>1077</v>
      </c>
      <c r="C1812" s="22" t="s">
        <v>58</v>
      </c>
      <c r="D1812" s="22" t="s">
        <v>1082</v>
      </c>
      <c r="E1812" s="3" t="s">
        <v>336</v>
      </c>
      <c r="F1812" s="6">
        <v>1</v>
      </c>
      <c r="G1812" s="3" t="s">
        <v>297</v>
      </c>
      <c r="H1812" s="5">
        <v>1266750</v>
      </c>
      <c r="I1812" s="22" t="s">
        <v>2</v>
      </c>
      <c r="J1812" s="5" t="s">
        <v>102</v>
      </c>
    </row>
    <row r="1813" spans="1:10" ht="60">
      <c r="A1813" s="27" t="s">
        <v>1835</v>
      </c>
      <c r="B1813" s="22" t="s">
        <v>1078</v>
      </c>
      <c r="C1813" s="22" t="s">
        <v>58</v>
      </c>
      <c r="D1813" s="22" t="s">
        <v>1082</v>
      </c>
      <c r="E1813" s="3" t="s">
        <v>336</v>
      </c>
      <c r="F1813" s="6">
        <v>1</v>
      </c>
      <c r="G1813" s="3" t="s">
        <v>297</v>
      </c>
      <c r="H1813" s="5">
        <v>2077103.57</v>
      </c>
      <c r="I1813" s="22" t="s">
        <v>2</v>
      </c>
      <c r="J1813" s="5" t="s">
        <v>102</v>
      </c>
    </row>
    <row r="1814" spans="1:10">
      <c r="A1814" s="27" t="s">
        <v>1836</v>
      </c>
      <c r="B1814" s="22" t="s">
        <v>1079</v>
      </c>
      <c r="C1814" s="22" t="s">
        <v>58</v>
      </c>
      <c r="D1814" s="22" t="s">
        <v>1082</v>
      </c>
      <c r="E1814" s="3" t="s">
        <v>336</v>
      </c>
      <c r="F1814" s="6">
        <v>1</v>
      </c>
      <c r="G1814" s="3" t="s">
        <v>297</v>
      </c>
      <c r="H1814" s="5">
        <v>2049563.39</v>
      </c>
      <c r="I1814" s="22" t="s">
        <v>2</v>
      </c>
      <c r="J1814" s="5" t="s">
        <v>102</v>
      </c>
    </row>
    <row r="1815" spans="1:10" ht="30">
      <c r="A1815" s="27" t="s">
        <v>1837</v>
      </c>
      <c r="B1815" s="22" t="s">
        <v>1073</v>
      </c>
      <c r="C1815" s="22" t="s">
        <v>58</v>
      </c>
      <c r="D1815" s="22" t="s">
        <v>1082</v>
      </c>
      <c r="E1815" s="3" t="s">
        <v>336</v>
      </c>
      <c r="F1815" s="6">
        <v>1</v>
      </c>
      <c r="G1815" s="3" t="s">
        <v>297</v>
      </c>
      <c r="H1815" s="5">
        <v>721428.57</v>
      </c>
      <c r="I1815" s="22" t="s">
        <v>2</v>
      </c>
      <c r="J1815" s="5" t="s">
        <v>102</v>
      </c>
    </row>
    <row r="1816" spans="1:10">
      <c r="A1816" s="27" t="s">
        <v>558</v>
      </c>
      <c r="B1816" s="22" t="s">
        <v>1074</v>
      </c>
      <c r="C1816" s="22" t="s">
        <v>58</v>
      </c>
      <c r="D1816" s="22" t="s">
        <v>1082</v>
      </c>
      <c r="E1816" s="3" t="s">
        <v>336</v>
      </c>
      <c r="F1816" s="6">
        <v>1</v>
      </c>
      <c r="G1816" s="3" t="s">
        <v>297</v>
      </c>
      <c r="H1816" s="5">
        <v>1082812.5</v>
      </c>
      <c r="I1816" s="22" t="s">
        <v>2</v>
      </c>
      <c r="J1816" s="5" t="s">
        <v>102</v>
      </c>
    </row>
    <row r="1817" spans="1:10" ht="30">
      <c r="A1817" s="27" t="s">
        <v>559</v>
      </c>
      <c r="B1817" s="22" t="s">
        <v>1075</v>
      </c>
      <c r="C1817" s="22" t="s">
        <v>58</v>
      </c>
      <c r="D1817" s="22" t="s">
        <v>1082</v>
      </c>
      <c r="E1817" s="3" t="s">
        <v>336</v>
      </c>
      <c r="F1817" s="6">
        <v>1</v>
      </c>
      <c r="G1817" s="22" t="s">
        <v>297</v>
      </c>
      <c r="H1817" s="5">
        <v>11000000</v>
      </c>
      <c r="I1817" s="22" t="s">
        <v>2</v>
      </c>
      <c r="J1817" s="5" t="s">
        <v>102</v>
      </c>
    </row>
    <row r="1818" spans="1:10" ht="30">
      <c r="A1818" s="27" t="s">
        <v>560</v>
      </c>
      <c r="B1818" s="22" t="s">
        <v>1080</v>
      </c>
      <c r="C1818" s="22" t="s">
        <v>58</v>
      </c>
      <c r="D1818" s="22" t="s">
        <v>1082</v>
      </c>
      <c r="E1818" s="3" t="s">
        <v>336</v>
      </c>
      <c r="F1818" s="6">
        <v>1</v>
      </c>
      <c r="G1818" s="22" t="s">
        <v>297</v>
      </c>
      <c r="H1818" s="5">
        <v>123928.57</v>
      </c>
      <c r="I1818" s="22" t="s">
        <v>2</v>
      </c>
      <c r="J1818" s="5" t="s">
        <v>102</v>
      </c>
    </row>
    <row r="1819" spans="1:10" ht="30">
      <c r="A1819" s="27" t="s">
        <v>561</v>
      </c>
      <c r="B1819" s="22" t="s">
        <v>1081</v>
      </c>
      <c r="C1819" s="22" t="s">
        <v>58</v>
      </c>
      <c r="D1819" s="22" t="s">
        <v>1082</v>
      </c>
      <c r="E1819" s="3" t="s">
        <v>336</v>
      </c>
      <c r="F1819" s="6">
        <v>1</v>
      </c>
      <c r="G1819" s="22" t="s">
        <v>297</v>
      </c>
      <c r="H1819" s="5">
        <v>495000</v>
      </c>
      <c r="I1819" s="22" t="s">
        <v>2</v>
      </c>
      <c r="J1819" s="5" t="s">
        <v>102</v>
      </c>
    </row>
    <row r="1820" spans="1:10" ht="90">
      <c r="A1820" s="27" t="s">
        <v>562</v>
      </c>
      <c r="B1820" s="3" t="s">
        <v>1085</v>
      </c>
      <c r="C1820" s="22" t="s">
        <v>58</v>
      </c>
      <c r="D1820" s="3" t="s">
        <v>1083</v>
      </c>
      <c r="E1820" s="3" t="s">
        <v>336</v>
      </c>
      <c r="F1820" s="6">
        <v>1</v>
      </c>
      <c r="G1820" s="22" t="s">
        <v>297</v>
      </c>
      <c r="H1820" s="5">
        <v>10437500</v>
      </c>
      <c r="I1820" s="22" t="s">
        <v>2</v>
      </c>
      <c r="J1820" s="5" t="s">
        <v>102</v>
      </c>
    </row>
    <row r="1821" spans="1:10" ht="30">
      <c r="A1821" s="27" t="s">
        <v>563</v>
      </c>
      <c r="B1821" s="3" t="s">
        <v>1084</v>
      </c>
      <c r="C1821" s="22" t="s">
        <v>58</v>
      </c>
      <c r="D1821" s="3" t="s">
        <v>1084</v>
      </c>
      <c r="E1821" s="3" t="s">
        <v>336</v>
      </c>
      <c r="F1821" s="6">
        <v>1</v>
      </c>
      <c r="G1821" s="22" t="s">
        <v>297</v>
      </c>
      <c r="H1821" s="5">
        <v>8921875</v>
      </c>
      <c r="I1821" s="22" t="s">
        <v>2</v>
      </c>
      <c r="J1821" s="5" t="s">
        <v>102</v>
      </c>
    </row>
    <row r="1822" spans="1:10" ht="60">
      <c r="A1822" s="27" t="s">
        <v>564</v>
      </c>
      <c r="B1822" s="3" t="s">
        <v>1086</v>
      </c>
      <c r="C1822" s="22" t="s">
        <v>58</v>
      </c>
      <c r="D1822" s="3" t="s">
        <v>1094</v>
      </c>
      <c r="E1822" s="3" t="s">
        <v>336</v>
      </c>
      <c r="F1822" s="6">
        <v>1</v>
      </c>
      <c r="G1822" s="6" t="s">
        <v>218</v>
      </c>
      <c r="H1822" s="5">
        <v>5267857.1399999997</v>
      </c>
      <c r="I1822" s="22" t="s">
        <v>2</v>
      </c>
      <c r="J1822" s="5" t="s">
        <v>102</v>
      </c>
    </row>
    <row r="1823" spans="1:10" ht="60">
      <c r="A1823" s="27" t="s">
        <v>1838</v>
      </c>
      <c r="B1823" s="3" t="s">
        <v>1087</v>
      </c>
      <c r="C1823" s="22" t="s">
        <v>58</v>
      </c>
      <c r="D1823" s="3" t="s">
        <v>1087</v>
      </c>
      <c r="E1823" s="3" t="s">
        <v>336</v>
      </c>
      <c r="F1823" s="6">
        <v>1</v>
      </c>
      <c r="G1823" s="6" t="s">
        <v>218</v>
      </c>
      <c r="H1823" s="5">
        <f>1785714.29-719829.01-387412.83</f>
        <v>678472.45</v>
      </c>
      <c r="I1823" s="22" t="s">
        <v>2</v>
      </c>
      <c r="J1823" s="5" t="s">
        <v>102</v>
      </c>
    </row>
    <row r="1824" spans="1:10" ht="45">
      <c r="A1824" s="27" t="s">
        <v>1839</v>
      </c>
      <c r="B1824" s="3" t="s">
        <v>1091</v>
      </c>
      <c r="C1824" s="22" t="s">
        <v>58</v>
      </c>
      <c r="D1824" s="22" t="s">
        <v>1091</v>
      </c>
      <c r="E1824" s="3" t="s">
        <v>336</v>
      </c>
      <c r="F1824" s="6">
        <v>1</v>
      </c>
      <c r="G1824" s="6" t="s">
        <v>218</v>
      </c>
      <c r="H1824" s="5">
        <v>13392857.140000001</v>
      </c>
      <c r="I1824" s="22" t="s">
        <v>2</v>
      </c>
      <c r="J1824" s="5" t="s">
        <v>102</v>
      </c>
    </row>
    <row r="1825" spans="1:10" ht="30">
      <c r="A1825" s="27" t="s">
        <v>1840</v>
      </c>
      <c r="B1825" s="3" t="s">
        <v>1088</v>
      </c>
      <c r="C1825" s="22" t="s">
        <v>58</v>
      </c>
      <c r="D1825" s="22" t="s">
        <v>1088</v>
      </c>
      <c r="E1825" s="3" t="s">
        <v>336</v>
      </c>
      <c r="F1825" s="6">
        <v>1</v>
      </c>
      <c r="G1825" s="6" t="s">
        <v>219</v>
      </c>
      <c r="H1825" s="5">
        <v>14500000</v>
      </c>
      <c r="I1825" s="22" t="s">
        <v>2</v>
      </c>
      <c r="J1825" s="5" t="s">
        <v>102</v>
      </c>
    </row>
    <row r="1826" spans="1:10">
      <c r="A1826" s="27" t="s">
        <v>1841</v>
      </c>
      <c r="B1826" s="3" t="s">
        <v>1089</v>
      </c>
      <c r="C1826" s="22" t="s">
        <v>58</v>
      </c>
      <c r="D1826" s="22" t="s">
        <v>1089</v>
      </c>
      <c r="E1826" s="3" t="s">
        <v>336</v>
      </c>
      <c r="F1826" s="6">
        <v>1</v>
      </c>
      <c r="G1826" s="6" t="s">
        <v>292</v>
      </c>
      <c r="H1826" s="5">
        <v>20000000</v>
      </c>
      <c r="I1826" s="22" t="s">
        <v>2</v>
      </c>
      <c r="J1826" s="5" t="s">
        <v>102</v>
      </c>
    </row>
    <row r="1827" spans="1:10" ht="105">
      <c r="A1827" s="27" t="s">
        <v>1842</v>
      </c>
      <c r="B1827" s="3" t="s">
        <v>1090</v>
      </c>
      <c r="C1827" s="22" t="s">
        <v>58</v>
      </c>
      <c r="D1827" s="22" t="s">
        <v>1090</v>
      </c>
      <c r="E1827" s="3" t="s">
        <v>336</v>
      </c>
      <c r="F1827" s="6">
        <v>1</v>
      </c>
      <c r="G1827" s="6" t="s">
        <v>229</v>
      </c>
      <c r="H1827" s="5">
        <f>21285714.29-18268278.43</f>
        <v>3017435.8599999994</v>
      </c>
      <c r="I1827" s="22" t="s">
        <v>2</v>
      </c>
      <c r="J1827" s="5" t="s">
        <v>102</v>
      </c>
    </row>
    <row r="1828" spans="1:10" ht="120">
      <c r="A1828" s="27" t="s">
        <v>1843</v>
      </c>
      <c r="B1828" s="3" t="s">
        <v>1092</v>
      </c>
      <c r="C1828" s="22" t="s">
        <v>58</v>
      </c>
      <c r="D1828" s="22" t="s">
        <v>1092</v>
      </c>
      <c r="E1828" s="3" t="s">
        <v>336</v>
      </c>
      <c r="F1828" s="6">
        <v>1</v>
      </c>
      <c r="G1828" s="6" t="s">
        <v>362</v>
      </c>
      <c r="H1828" s="5">
        <v>4785714.29</v>
      </c>
      <c r="I1828" s="22" t="s">
        <v>2</v>
      </c>
      <c r="J1828" s="5" t="s">
        <v>102</v>
      </c>
    </row>
    <row r="1829" spans="1:10">
      <c r="A1829" s="27" t="s">
        <v>1844</v>
      </c>
      <c r="B1829" s="3" t="s">
        <v>1093</v>
      </c>
      <c r="C1829" s="22" t="s">
        <v>58</v>
      </c>
      <c r="D1829" s="22" t="s">
        <v>1093</v>
      </c>
      <c r="E1829" s="3" t="s">
        <v>336</v>
      </c>
      <c r="F1829" s="6">
        <v>1</v>
      </c>
      <c r="G1829" s="6" t="s">
        <v>292</v>
      </c>
      <c r="H1829" s="5">
        <v>3000000</v>
      </c>
      <c r="I1829" s="22" t="s">
        <v>2</v>
      </c>
      <c r="J1829" s="5" t="s">
        <v>102</v>
      </c>
    </row>
    <row r="1830" spans="1:10" ht="30">
      <c r="A1830" s="27" t="s">
        <v>1845</v>
      </c>
      <c r="B1830" s="22" t="s">
        <v>1095</v>
      </c>
      <c r="C1830" s="22" t="s">
        <v>58</v>
      </c>
      <c r="D1830" s="3" t="s">
        <v>1095</v>
      </c>
      <c r="E1830" s="3" t="s">
        <v>336</v>
      </c>
      <c r="F1830" s="6">
        <v>1</v>
      </c>
      <c r="G1830" s="22" t="s">
        <v>297</v>
      </c>
      <c r="H1830" s="5">
        <f>89285714.29-53571428.57</f>
        <v>35714285.720000006</v>
      </c>
      <c r="I1830" s="22" t="s">
        <v>2</v>
      </c>
      <c r="J1830" s="5" t="s">
        <v>102</v>
      </c>
    </row>
    <row r="1831" spans="1:10" ht="60">
      <c r="A1831" s="27" t="s">
        <v>1846</v>
      </c>
      <c r="B1831" s="22" t="s">
        <v>1100</v>
      </c>
      <c r="C1831" s="22" t="s">
        <v>58</v>
      </c>
      <c r="D1831" s="3" t="s">
        <v>1096</v>
      </c>
      <c r="E1831" s="3" t="s">
        <v>336</v>
      </c>
      <c r="F1831" s="6">
        <v>1</v>
      </c>
      <c r="G1831" s="22" t="s">
        <v>297</v>
      </c>
      <c r="H1831" s="5">
        <f>241071428.57-150441428.57</f>
        <v>90630000</v>
      </c>
      <c r="I1831" s="22" t="s">
        <v>2</v>
      </c>
      <c r="J1831" s="5" t="s">
        <v>102</v>
      </c>
    </row>
    <row r="1832" spans="1:10" ht="90">
      <c r="A1832" s="27" t="s">
        <v>1847</v>
      </c>
      <c r="B1832" s="22" t="s">
        <v>1097</v>
      </c>
      <c r="C1832" s="22" t="s">
        <v>58</v>
      </c>
      <c r="D1832" s="3" t="s">
        <v>1097</v>
      </c>
      <c r="E1832" s="3" t="s">
        <v>336</v>
      </c>
      <c r="F1832" s="6">
        <v>1</v>
      </c>
      <c r="G1832" s="22" t="s">
        <v>297</v>
      </c>
      <c r="H1832" s="5">
        <f>132307900.89-5000000+111889.29-85470501.79</f>
        <v>41949288.390000001</v>
      </c>
      <c r="I1832" s="22" t="s">
        <v>2</v>
      </c>
      <c r="J1832" s="5" t="s">
        <v>102</v>
      </c>
    </row>
    <row r="1833" spans="1:10">
      <c r="A1833" s="27" t="s">
        <v>1848</v>
      </c>
      <c r="B1833" s="22" t="s">
        <v>1098</v>
      </c>
      <c r="C1833" s="22" t="s">
        <v>58</v>
      </c>
      <c r="D1833" s="22" t="s">
        <v>1098</v>
      </c>
      <c r="E1833" s="3" t="s">
        <v>336</v>
      </c>
      <c r="F1833" s="6">
        <v>1</v>
      </c>
      <c r="G1833" s="22" t="s">
        <v>297</v>
      </c>
      <c r="H1833" s="5">
        <v>26785713.390000001</v>
      </c>
      <c r="I1833" s="22" t="s">
        <v>2</v>
      </c>
      <c r="J1833" s="5" t="s">
        <v>102</v>
      </c>
    </row>
    <row r="1834" spans="1:10" ht="75">
      <c r="A1834" s="27" t="s">
        <v>1849</v>
      </c>
      <c r="B1834" s="22" t="s">
        <v>1101</v>
      </c>
      <c r="C1834" s="22" t="s">
        <v>58</v>
      </c>
      <c r="D1834" s="22" t="s">
        <v>1101</v>
      </c>
      <c r="E1834" s="3" t="s">
        <v>336</v>
      </c>
      <c r="F1834" s="6">
        <v>1</v>
      </c>
      <c r="G1834" s="22" t="s">
        <v>297</v>
      </c>
      <c r="H1834" s="5">
        <v>3339285.71</v>
      </c>
      <c r="I1834" s="22" t="s">
        <v>2</v>
      </c>
      <c r="J1834" s="5" t="s">
        <v>102</v>
      </c>
    </row>
    <row r="1835" spans="1:10" ht="45">
      <c r="A1835" s="27" t="s">
        <v>1850</v>
      </c>
      <c r="B1835" s="22" t="s">
        <v>1099</v>
      </c>
      <c r="C1835" s="22" t="s">
        <v>58</v>
      </c>
      <c r="D1835" s="3" t="s">
        <v>1099</v>
      </c>
      <c r="E1835" s="3" t="s">
        <v>336</v>
      </c>
      <c r="F1835" s="6">
        <v>1</v>
      </c>
      <c r="G1835" s="22" t="s">
        <v>297</v>
      </c>
      <c r="H1835" s="5">
        <v>45867414.289999999</v>
      </c>
      <c r="I1835" s="22" t="s">
        <v>2</v>
      </c>
      <c r="J1835" s="5" t="s">
        <v>102</v>
      </c>
    </row>
    <row r="1836" spans="1:10" ht="45">
      <c r="A1836" s="27" t="s">
        <v>1851</v>
      </c>
      <c r="B1836" s="22" t="s">
        <v>1102</v>
      </c>
      <c r="C1836" s="22" t="s">
        <v>58</v>
      </c>
      <c r="D1836" s="22" t="s">
        <v>1102</v>
      </c>
      <c r="E1836" s="3" t="s">
        <v>336</v>
      </c>
      <c r="F1836" s="6">
        <v>1</v>
      </c>
      <c r="G1836" s="22" t="s">
        <v>297</v>
      </c>
      <c r="H1836" s="5">
        <v>2633006.25</v>
      </c>
      <c r="I1836" s="22" t="s">
        <v>2</v>
      </c>
      <c r="J1836" s="5" t="s">
        <v>102</v>
      </c>
    </row>
    <row r="1837" spans="1:10" s="34" customFormat="1" ht="30">
      <c r="A1837" s="27" t="s">
        <v>1852</v>
      </c>
      <c r="B1837" s="36" t="s">
        <v>1103</v>
      </c>
      <c r="C1837" s="22" t="s">
        <v>58</v>
      </c>
      <c r="D1837" s="36" t="s">
        <v>1103</v>
      </c>
      <c r="E1837" s="36" t="s">
        <v>336</v>
      </c>
      <c r="F1837" s="37">
        <v>1</v>
      </c>
      <c r="G1837" s="22" t="s">
        <v>297</v>
      </c>
      <c r="H1837" s="5">
        <v>39389039.289999999</v>
      </c>
      <c r="I1837" s="22" t="s">
        <v>2</v>
      </c>
      <c r="J1837" s="5" t="s">
        <v>102</v>
      </c>
    </row>
    <row r="1838" spans="1:10" ht="105">
      <c r="A1838" s="27" t="s">
        <v>1853</v>
      </c>
      <c r="B1838" s="22" t="s">
        <v>1104</v>
      </c>
      <c r="C1838" s="22" t="s">
        <v>58</v>
      </c>
      <c r="D1838" s="22" t="s">
        <v>1104</v>
      </c>
      <c r="E1838" s="22" t="s">
        <v>336</v>
      </c>
      <c r="F1838" s="6">
        <v>1</v>
      </c>
      <c r="G1838" s="22" t="s">
        <v>297</v>
      </c>
      <c r="H1838" s="5">
        <v>41122100.890000001</v>
      </c>
      <c r="I1838" s="22" t="s">
        <v>2</v>
      </c>
      <c r="J1838" s="5" t="s">
        <v>102</v>
      </c>
    </row>
    <row r="1839" spans="1:10" ht="45">
      <c r="A1839" s="27" t="s">
        <v>1854</v>
      </c>
      <c r="B1839" s="22" t="s">
        <v>1106</v>
      </c>
      <c r="C1839" s="22" t="s">
        <v>58</v>
      </c>
      <c r="D1839" s="22" t="s">
        <v>1107</v>
      </c>
      <c r="E1839" s="22" t="s">
        <v>336</v>
      </c>
      <c r="F1839" s="6">
        <v>1</v>
      </c>
      <c r="G1839" s="22" t="s">
        <v>297</v>
      </c>
      <c r="H1839" s="5">
        <v>22979687.5</v>
      </c>
      <c r="I1839" s="22" t="s">
        <v>2</v>
      </c>
      <c r="J1839" s="5" t="s">
        <v>102</v>
      </c>
    </row>
    <row r="1840" spans="1:10" ht="45">
      <c r="A1840" s="27" t="s">
        <v>1855</v>
      </c>
      <c r="B1840" s="22" t="s">
        <v>1106</v>
      </c>
      <c r="C1840" s="22" t="s">
        <v>58</v>
      </c>
      <c r="D1840" s="22" t="s">
        <v>1108</v>
      </c>
      <c r="E1840" s="22" t="s">
        <v>336</v>
      </c>
      <c r="F1840" s="6">
        <v>1</v>
      </c>
      <c r="G1840" s="22" t="s">
        <v>297</v>
      </c>
      <c r="H1840" s="5">
        <v>378125</v>
      </c>
      <c r="I1840" s="22" t="s">
        <v>2</v>
      </c>
      <c r="J1840" s="5" t="s">
        <v>102</v>
      </c>
    </row>
    <row r="1841" spans="1:10" ht="45">
      <c r="A1841" s="27" t="s">
        <v>1856</v>
      </c>
      <c r="B1841" s="22" t="s">
        <v>1106</v>
      </c>
      <c r="C1841" s="22" t="s">
        <v>58</v>
      </c>
      <c r="D1841" s="22" t="s">
        <v>1109</v>
      </c>
      <c r="E1841" s="22" t="s">
        <v>336</v>
      </c>
      <c r="F1841" s="6">
        <v>1</v>
      </c>
      <c r="G1841" s="22" t="s">
        <v>297</v>
      </c>
      <c r="H1841" s="5">
        <v>2234375</v>
      </c>
      <c r="I1841" s="22" t="s">
        <v>2</v>
      </c>
      <c r="J1841" s="5" t="s">
        <v>102</v>
      </c>
    </row>
    <row r="1842" spans="1:10" ht="45">
      <c r="A1842" s="27" t="s">
        <v>1857</v>
      </c>
      <c r="B1842" s="22" t="s">
        <v>1106</v>
      </c>
      <c r="C1842" s="22" t="s">
        <v>58</v>
      </c>
      <c r="D1842" s="22" t="s">
        <v>1110</v>
      </c>
      <c r="E1842" s="22" t="s">
        <v>336</v>
      </c>
      <c r="F1842" s="6">
        <v>1</v>
      </c>
      <c r="G1842" s="22" t="s">
        <v>297</v>
      </c>
      <c r="H1842" s="5">
        <v>2062500</v>
      </c>
      <c r="I1842" s="22" t="s">
        <v>2</v>
      </c>
      <c r="J1842" s="5" t="s">
        <v>102</v>
      </c>
    </row>
    <row r="1843" spans="1:10" ht="45">
      <c r="A1843" s="27" t="s">
        <v>1858</v>
      </c>
      <c r="B1843" s="22" t="s">
        <v>1105</v>
      </c>
      <c r="C1843" s="22" t="s">
        <v>58</v>
      </c>
      <c r="D1843" s="22" t="s">
        <v>1111</v>
      </c>
      <c r="E1843" s="22" t="s">
        <v>336</v>
      </c>
      <c r="F1843" s="6">
        <v>1</v>
      </c>
      <c r="G1843" s="22" t="s">
        <v>297</v>
      </c>
      <c r="H1843" s="5">
        <v>1289062.5</v>
      </c>
      <c r="I1843" s="22" t="s">
        <v>2</v>
      </c>
      <c r="J1843" s="5" t="s">
        <v>102</v>
      </c>
    </row>
    <row r="1844" spans="1:10" ht="45">
      <c r="A1844" s="27" t="s">
        <v>1859</v>
      </c>
      <c r="B1844" s="22" t="s">
        <v>1105</v>
      </c>
      <c r="C1844" s="22" t="s">
        <v>58</v>
      </c>
      <c r="D1844" s="22" t="s">
        <v>1112</v>
      </c>
      <c r="E1844" s="22" t="s">
        <v>336</v>
      </c>
      <c r="F1844" s="6">
        <v>1</v>
      </c>
      <c r="G1844" s="22" t="s">
        <v>297</v>
      </c>
      <c r="H1844" s="5">
        <v>111548.21</v>
      </c>
      <c r="I1844" s="22" t="s">
        <v>2</v>
      </c>
      <c r="J1844" s="5" t="s">
        <v>102</v>
      </c>
    </row>
    <row r="1845" spans="1:10" ht="45">
      <c r="A1845" s="27" t="s">
        <v>1860</v>
      </c>
      <c r="B1845" s="22" t="s">
        <v>1105</v>
      </c>
      <c r="C1845" s="22" t="s">
        <v>58</v>
      </c>
      <c r="D1845" s="22" t="s">
        <v>1113</v>
      </c>
      <c r="E1845" s="22" t="s">
        <v>336</v>
      </c>
      <c r="F1845" s="6">
        <v>1</v>
      </c>
      <c r="G1845" s="22" t="s">
        <v>297</v>
      </c>
      <c r="H1845" s="5">
        <v>635937.5</v>
      </c>
      <c r="I1845" s="22" t="s">
        <v>2</v>
      </c>
      <c r="J1845" s="5" t="s">
        <v>102</v>
      </c>
    </row>
    <row r="1846" spans="1:10" ht="45">
      <c r="A1846" s="27" t="s">
        <v>1861</v>
      </c>
      <c r="B1846" s="22" t="s">
        <v>1105</v>
      </c>
      <c r="C1846" s="22" t="s">
        <v>58</v>
      </c>
      <c r="D1846" s="22" t="s">
        <v>1114</v>
      </c>
      <c r="E1846" s="22" t="s">
        <v>336</v>
      </c>
      <c r="F1846" s="6">
        <v>1</v>
      </c>
      <c r="G1846" s="22" t="s">
        <v>297</v>
      </c>
      <c r="H1846" s="5">
        <v>515625</v>
      </c>
      <c r="I1846" s="22" t="s">
        <v>2</v>
      </c>
      <c r="J1846" s="5" t="s">
        <v>102</v>
      </c>
    </row>
    <row r="1847" spans="1:10" ht="45">
      <c r="A1847" s="27" t="s">
        <v>1862</v>
      </c>
      <c r="B1847" s="22" t="s">
        <v>1105</v>
      </c>
      <c r="C1847" s="22" t="s">
        <v>58</v>
      </c>
      <c r="D1847" s="22" t="s">
        <v>1115</v>
      </c>
      <c r="E1847" s="22" t="s">
        <v>336</v>
      </c>
      <c r="F1847" s="6">
        <v>1</v>
      </c>
      <c r="G1847" s="22" t="s">
        <v>297</v>
      </c>
      <c r="H1847" s="5">
        <v>309375</v>
      </c>
      <c r="I1847" s="22" t="s">
        <v>2</v>
      </c>
      <c r="J1847" s="5" t="s">
        <v>102</v>
      </c>
    </row>
    <row r="1848" spans="1:10" ht="45">
      <c r="A1848" s="27" t="s">
        <v>1863</v>
      </c>
      <c r="B1848" s="22" t="s">
        <v>1105</v>
      </c>
      <c r="C1848" s="22" t="s">
        <v>58</v>
      </c>
      <c r="D1848" s="22" t="s">
        <v>1116</v>
      </c>
      <c r="E1848" s="22" t="s">
        <v>336</v>
      </c>
      <c r="F1848" s="6">
        <v>1</v>
      </c>
      <c r="G1848" s="22" t="s">
        <v>297</v>
      </c>
      <c r="H1848" s="5">
        <v>3678125</v>
      </c>
      <c r="I1848" s="22" t="s">
        <v>2</v>
      </c>
      <c r="J1848" s="5" t="s">
        <v>102</v>
      </c>
    </row>
    <row r="1849" spans="1:10" ht="30">
      <c r="A1849" s="27" t="s">
        <v>1864</v>
      </c>
      <c r="B1849" s="22" t="s">
        <v>1117</v>
      </c>
      <c r="C1849" s="22" t="s">
        <v>58</v>
      </c>
      <c r="D1849" s="22" t="s">
        <v>1117</v>
      </c>
      <c r="E1849" s="22" t="s">
        <v>336</v>
      </c>
      <c r="F1849" s="6">
        <v>1</v>
      </c>
      <c r="G1849" s="22" t="s">
        <v>297</v>
      </c>
      <c r="H1849" s="5">
        <v>17857142.859999999</v>
      </c>
      <c r="I1849" s="22" t="s">
        <v>2</v>
      </c>
      <c r="J1849" s="5" t="s">
        <v>102</v>
      </c>
    </row>
    <row r="1850" spans="1:10" ht="150">
      <c r="A1850" s="27" t="s">
        <v>1885</v>
      </c>
      <c r="B1850" s="22" t="s">
        <v>1942</v>
      </c>
      <c r="C1850" s="22" t="s">
        <v>60</v>
      </c>
      <c r="D1850" s="22" t="s">
        <v>1942</v>
      </c>
      <c r="E1850" s="22" t="s">
        <v>336</v>
      </c>
      <c r="F1850" s="6">
        <v>1</v>
      </c>
      <c r="G1850" s="22" t="s">
        <v>297</v>
      </c>
      <c r="H1850" s="5">
        <v>5000000</v>
      </c>
      <c r="I1850" s="22" t="s">
        <v>681</v>
      </c>
      <c r="J1850" s="5" t="s">
        <v>102</v>
      </c>
    </row>
    <row r="1851" spans="1:10" ht="30">
      <c r="A1851" s="48" t="s">
        <v>3341</v>
      </c>
      <c r="B1851" s="22" t="s">
        <v>3342</v>
      </c>
      <c r="C1851" s="22" t="s">
        <v>58</v>
      </c>
      <c r="D1851" s="22" t="s">
        <v>3342</v>
      </c>
      <c r="E1851" s="22" t="s">
        <v>336</v>
      </c>
      <c r="F1851" s="6">
        <v>1</v>
      </c>
      <c r="G1851" s="22" t="s">
        <v>297</v>
      </c>
      <c r="H1851" s="5">
        <v>172767857.13999999</v>
      </c>
      <c r="I1851" s="22" t="s">
        <v>680</v>
      </c>
      <c r="J1851" s="5" t="s">
        <v>102</v>
      </c>
    </row>
    <row r="1852" spans="1:10" ht="90">
      <c r="A1852" s="48" t="s">
        <v>3343</v>
      </c>
      <c r="B1852" s="22" t="s">
        <v>3344</v>
      </c>
      <c r="C1852" s="22" t="s">
        <v>58</v>
      </c>
      <c r="D1852" s="22" t="s">
        <v>3344</v>
      </c>
      <c r="E1852" s="22" t="s">
        <v>336</v>
      </c>
      <c r="F1852" s="6">
        <v>1</v>
      </c>
      <c r="G1852" s="22" t="s">
        <v>297</v>
      </c>
      <c r="H1852" s="5">
        <v>175320982.13999999</v>
      </c>
      <c r="I1852" s="22" t="s">
        <v>680</v>
      </c>
      <c r="J1852" s="5" t="s">
        <v>102</v>
      </c>
    </row>
    <row r="1853" spans="1:10" ht="120">
      <c r="A1853" s="48" t="s">
        <v>3347</v>
      </c>
      <c r="B1853" s="22" t="s">
        <v>3348</v>
      </c>
      <c r="C1853" s="22" t="s">
        <v>58</v>
      </c>
      <c r="D1853" s="22" t="s">
        <v>3348</v>
      </c>
      <c r="E1853" s="22" t="s">
        <v>336</v>
      </c>
      <c r="F1853" s="6">
        <v>1</v>
      </c>
      <c r="G1853" s="22" t="s">
        <v>297</v>
      </c>
      <c r="H1853" s="5">
        <v>303571428.56999999</v>
      </c>
      <c r="I1853" s="22" t="s">
        <v>680</v>
      </c>
      <c r="J1853" s="5" t="s">
        <v>102</v>
      </c>
    </row>
    <row r="1854" spans="1:10" ht="30">
      <c r="A1854" s="48" t="s">
        <v>3358</v>
      </c>
      <c r="B1854" s="22" t="s">
        <v>3359</v>
      </c>
      <c r="C1854" s="22" t="s">
        <v>60</v>
      </c>
      <c r="D1854" s="22" t="s">
        <v>3359</v>
      </c>
      <c r="E1854" s="22" t="s">
        <v>336</v>
      </c>
      <c r="F1854" s="6">
        <v>1</v>
      </c>
      <c r="G1854" s="22" t="s">
        <v>3360</v>
      </c>
      <c r="H1854" s="5">
        <v>387414</v>
      </c>
      <c r="I1854" s="22" t="s">
        <v>680</v>
      </c>
      <c r="J1854" s="5" t="s">
        <v>102</v>
      </c>
    </row>
    <row r="1855" spans="1:10" ht="60">
      <c r="A1855" s="48" t="s">
        <v>3367</v>
      </c>
      <c r="B1855" s="22" t="s">
        <v>3368</v>
      </c>
      <c r="C1855" s="22" t="s">
        <v>60</v>
      </c>
      <c r="D1855" s="22" t="s">
        <v>3369</v>
      </c>
      <c r="E1855" s="22" t="s">
        <v>336</v>
      </c>
      <c r="F1855" s="6">
        <v>1</v>
      </c>
      <c r="G1855" s="22" t="s">
        <v>297</v>
      </c>
      <c r="H1855" s="5">
        <v>719829.01</v>
      </c>
      <c r="I1855" s="22" t="s">
        <v>2</v>
      </c>
      <c r="J1855" s="5" t="s">
        <v>102</v>
      </c>
    </row>
    <row r="1856" spans="1:10" ht="30">
      <c r="A1856" s="48" t="s">
        <v>3412</v>
      </c>
      <c r="B1856" s="22" t="s">
        <v>3368</v>
      </c>
      <c r="C1856" s="22" t="s">
        <v>60</v>
      </c>
      <c r="D1856" s="22" t="s">
        <v>3413</v>
      </c>
      <c r="E1856" s="22" t="s">
        <v>336</v>
      </c>
      <c r="F1856" s="6">
        <v>1</v>
      </c>
      <c r="G1856" s="22" t="s">
        <v>297</v>
      </c>
      <c r="H1856" s="5">
        <v>26899756.879999999</v>
      </c>
      <c r="I1856" s="22" t="s">
        <v>680</v>
      </c>
      <c r="J1856" s="5" t="s">
        <v>102</v>
      </c>
    </row>
    <row r="1857" spans="1:10" ht="30">
      <c r="A1857" s="48" t="s">
        <v>3414</v>
      </c>
      <c r="B1857" s="22" t="s">
        <v>3368</v>
      </c>
      <c r="C1857" s="22" t="s">
        <v>60</v>
      </c>
      <c r="D1857" s="22" t="s">
        <v>3415</v>
      </c>
      <c r="E1857" s="22" t="s">
        <v>336</v>
      </c>
      <c r="F1857" s="6">
        <v>1</v>
      </c>
      <c r="G1857" s="22" t="s">
        <v>297</v>
      </c>
      <c r="H1857" s="5">
        <v>387412.83</v>
      </c>
      <c r="I1857" s="22" t="s">
        <v>680</v>
      </c>
      <c r="J1857" s="5" t="s">
        <v>102</v>
      </c>
    </row>
    <row r="1858" spans="1:10" ht="30">
      <c r="A1858" s="48" t="s">
        <v>3416</v>
      </c>
      <c r="B1858" s="22" t="s">
        <v>3368</v>
      </c>
      <c r="C1858" s="22" t="s">
        <v>60</v>
      </c>
      <c r="D1858" s="22" t="s">
        <v>3368</v>
      </c>
      <c r="E1858" s="22" t="s">
        <v>336</v>
      </c>
      <c r="F1858" s="6">
        <v>1</v>
      </c>
      <c r="G1858" s="22" t="s">
        <v>297</v>
      </c>
      <c r="H1858" s="5">
        <v>18268278.43</v>
      </c>
      <c r="I1858" s="22" t="s">
        <v>680</v>
      </c>
      <c r="J1858" s="5" t="s">
        <v>102</v>
      </c>
    </row>
    <row r="1859" spans="1:10" ht="28.5">
      <c r="A1859" s="27" t="s">
        <v>565</v>
      </c>
      <c r="B1859" s="12" t="s">
        <v>1118</v>
      </c>
      <c r="C1859" s="4" t="s">
        <v>578</v>
      </c>
      <c r="D1859" s="3" t="s">
        <v>363</v>
      </c>
      <c r="E1859" s="4" t="s">
        <v>578</v>
      </c>
      <c r="F1859" s="4" t="s">
        <v>578</v>
      </c>
      <c r="G1859" s="4" t="s">
        <v>101</v>
      </c>
      <c r="H1859" s="13">
        <f>SUM(H1860+H1861+H1862+H1863+H1864+H1865+H1867+H1882+H1894+H1896+H1911+H1926+H1931+H1935+H1936+H1937+H1938+H1939+H1940+H1941+H1942+H1943+H1944+H1945+H1946+H1947+H1948+H1949+H1950+H1951+H1952+H1953+H1954+H1955+H1956+H1957+H1958+H1959+H1960+H1961+H1962+H1963+H1964+H1965+H1966+H1967+H1968+H1969+H1970+H1971+H1972+H1973+H1974+H1975+H1976+H1977+H1978+H1979+H1980+H1981+H1982+H1983+H1984+H1985+H1986+H1987+H1988+H1989+H1990+H1991+H1992+H1993)+H1866+H1994+H1996+H1995+H1997</f>
        <v>1278858161.75</v>
      </c>
      <c r="I1859" s="3" t="s">
        <v>578</v>
      </c>
      <c r="J1859" s="5" t="s">
        <v>102</v>
      </c>
    </row>
    <row r="1860" spans="1:10" ht="90">
      <c r="A1860" s="27" t="s">
        <v>1865</v>
      </c>
      <c r="B1860" s="3" t="s">
        <v>1119</v>
      </c>
      <c r="C1860" s="4" t="s">
        <v>58</v>
      </c>
      <c r="D1860" s="22" t="s">
        <v>1119</v>
      </c>
      <c r="E1860" s="3" t="s">
        <v>336</v>
      </c>
      <c r="F1860" s="6">
        <v>1</v>
      </c>
      <c r="G1860" s="6" t="s">
        <v>101</v>
      </c>
      <c r="H1860" s="15">
        <v>15500000</v>
      </c>
      <c r="I1860" s="22" t="s">
        <v>2</v>
      </c>
      <c r="J1860" s="5" t="s">
        <v>102</v>
      </c>
    </row>
    <row r="1861" spans="1:10" ht="30">
      <c r="A1861" s="27" t="s">
        <v>1866</v>
      </c>
      <c r="B1861" s="3" t="s">
        <v>1120</v>
      </c>
      <c r="C1861" s="4" t="s">
        <v>59</v>
      </c>
      <c r="D1861" s="22" t="s">
        <v>1120</v>
      </c>
      <c r="E1861" s="3" t="s">
        <v>336</v>
      </c>
      <c r="F1861" s="6">
        <v>1</v>
      </c>
      <c r="G1861" s="6" t="s">
        <v>101</v>
      </c>
      <c r="H1861" s="15">
        <v>48000</v>
      </c>
      <c r="I1861" s="22" t="s">
        <v>2</v>
      </c>
      <c r="J1861" s="5" t="s">
        <v>102</v>
      </c>
    </row>
    <row r="1862" spans="1:10" ht="60">
      <c r="A1862" s="27" t="s">
        <v>1867</v>
      </c>
      <c r="B1862" s="3" t="s">
        <v>1122</v>
      </c>
      <c r="C1862" s="4" t="s">
        <v>60</v>
      </c>
      <c r="D1862" s="22" t="s">
        <v>364</v>
      </c>
      <c r="E1862" s="3" t="s">
        <v>336</v>
      </c>
      <c r="F1862" s="6">
        <v>1</v>
      </c>
      <c r="G1862" s="6" t="s">
        <v>101</v>
      </c>
      <c r="H1862" s="15">
        <v>200000</v>
      </c>
      <c r="I1862" s="22" t="s">
        <v>2</v>
      </c>
      <c r="J1862" s="5" t="s">
        <v>102</v>
      </c>
    </row>
    <row r="1863" spans="1:10" ht="45">
      <c r="A1863" s="27" t="s">
        <v>1868</v>
      </c>
      <c r="B1863" s="3" t="s">
        <v>1123</v>
      </c>
      <c r="C1863" s="4" t="s">
        <v>60</v>
      </c>
      <c r="D1863" s="22" t="s">
        <v>57</v>
      </c>
      <c r="E1863" s="3" t="s">
        <v>336</v>
      </c>
      <c r="F1863" s="6">
        <v>1</v>
      </c>
      <c r="G1863" s="6" t="s">
        <v>101</v>
      </c>
      <c r="H1863" s="15">
        <f>10000000-4463547-417600-126000</f>
        <v>4992853</v>
      </c>
      <c r="I1863" s="22" t="s">
        <v>2</v>
      </c>
      <c r="J1863" s="5" t="s">
        <v>102</v>
      </c>
    </row>
    <row r="1864" spans="1:10" ht="45">
      <c r="A1864" s="27" t="s">
        <v>1869</v>
      </c>
      <c r="B1864" s="22" t="s">
        <v>1121</v>
      </c>
      <c r="C1864" s="4" t="s">
        <v>60</v>
      </c>
      <c r="D1864" s="22" t="s">
        <v>1121</v>
      </c>
      <c r="E1864" s="22" t="s">
        <v>336</v>
      </c>
      <c r="F1864" s="6">
        <v>1</v>
      </c>
      <c r="G1864" s="6" t="s">
        <v>101</v>
      </c>
      <c r="H1864" s="15">
        <f>1135800-85000</f>
        <v>1050800</v>
      </c>
      <c r="I1864" s="22" t="s">
        <v>681</v>
      </c>
      <c r="J1864" s="5" t="s">
        <v>102</v>
      </c>
    </row>
    <row r="1865" spans="1:10" ht="60">
      <c r="A1865" s="27" t="s">
        <v>3231</v>
      </c>
      <c r="B1865" s="22" t="s">
        <v>3232</v>
      </c>
      <c r="C1865" s="22" t="s">
        <v>59</v>
      </c>
      <c r="D1865" s="22" t="s">
        <v>3232</v>
      </c>
      <c r="E1865" s="22" t="s">
        <v>336</v>
      </c>
      <c r="F1865" s="6">
        <v>1</v>
      </c>
      <c r="G1865" s="6" t="s">
        <v>101</v>
      </c>
      <c r="H1865" s="15">
        <v>0</v>
      </c>
      <c r="I1865" s="22" t="s">
        <v>680</v>
      </c>
      <c r="J1865" s="5" t="s">
        <v>102</v>
      </c>
    </row>
    <row r="1866" spans="1:10" ht="45">
      <c r="A1866" s="48" t="s">
        <v>3345</v>
      </c>
      <c r="B1866" s="22" t="s">
        <v>3346</v>
      </c>
      <c r="C1866" s="22" t="s">
        <v>59</v>
      </c>
      <c r="D1866" s="22" t="s">
        <v>3346</v>
      </c>
      <c r="E1866" s="22" t="s">
        <v>336</v>
      </c>
      <c r="F1866" s="6">
        <v>1</v>
      </c>
      <c r="G1866" s="6" t="s">
        <v>101</v>
      </c>
      <c r="H1866" s="15">
        <v>85000</v>
      </c>
      <c r="I1866" s="22" t="s">
        <v>680</v>
      </c>
      <c r="J1866" s="5" t="s">
        <v>102</v>
      </c>
    </row>
    <row r="1867" spans="1:10" ht="30">
      <c r="A1867" s="27" t="s">
        <v>1870</v>
      </c>
      <c r="B1867" s="12" t="s">
        <v>1124</v>
      </c>
      <c r="C1867" s="4" t="s">
        <v>58</v>
      </c>
      <c r="D1867" s="22" t="s">
        <v>1124</v>
      </c>
      <c r="E1867" s="4" t="s">
        <v>578</v>
      </c>
      <c r="F1867" s="6">
        <v>1</v>
      </c>
      <c r="G1867" s="4" t="s">
        <v>578</v>
      </c>
      <c r="H1867" s="15">
        <f>SUM(H1868:H1881)</f>
        <v>30107700</v>
      </c>
      <c r="I1867" s="22" t="s">
        <v>578</v>
      </c>
      <c r="J1867" s="5" t="s">
        <v>102</v>
      </c>
    </row>
    <row r="1868" spans="1:10" ht="30">
      <c r="A1868" s="27" t="s">
        <v>1871</v>
      </c>
      <c r="B1868" s="22" t="s">
        <v>1124</v>
      </c>
      <c r="C1868" s="3" t="s">
        <v>58</v>
      </c>
      <c r="D1868" s="3" t="s">
        <v>1124</v>
      </c>
      <c r="E1868" s="3" t="s">
        <v>336</v>
      </c>
      <c r="F1868" s="6">
        <v>1</v>
      </c>
      <c r="G1868" s="6" t="s">
        <v>211</v>
      </c>
      <c r="H1868" s="5">
        <v>2150550</v>
      </c>
      <c r="I1868" s="3" t="s">
        <v>681</v>
      </c>
      <c r="J1868" s="5" t="s">
        <v>102</v>
      </c>
    </row>
    <row r="1869" spans="1:10" ht="30">
      <c r="A1869" s="27" t="s">
        <v>1872</v>
      </c>
      <c r="B1869" s="22" t="s">
        <v>1124</v>
      </c>
      <c r="C1869" s="22" t="s">
        <v>58</v>
      </c>
      <c r="D1869" s="22" t="s">
        <v>1124</v>
      </c>
      <c r="E1869" s="3" t="s">
        <v>336</v>
      </c>
      <c r="F1869" s="6">
        <v>1</v>
      </c>
      <c r="G1869" s="6" t="s">
        <v>282</v>
      </c>
      <c r="H1869" s="5">
        <v>2150550</v>
      </c>
      <c r="I1869" s="22" t="s">
        <v>681</v>
      </c>
      <c r="J1869" s="5" t="s">
        <v>102</v>
      </c>
    </row>
    <row r="1870" spans="1:10" ht="30">
      <c r="A1870" s="27" t="s">
        <v>1873</v>
      </c>
      <c r="B1870" s="22" t="s">
        <v>1124</v>
      </c>
      <c r="C1870" s="3" t="s">
        <v>58</v>
      </c>
      <c r="D1870" s="22" t="s">
        <v>1124</v>
      </c>
      <c r="E1870" s="3" t="s">
        <v>336</v>
      </c>
      <c r="F1870" s="6">
        <v>1</v>
      </c>
      <c r="G1870" s="6" t="s">
        <v>271</v>
      </c>
      <c r="H1870" s="5">
        <v>2150550</v>
      </c>
      <c r="I1870" s="22" t="s">
        <v>681</v>
      </c>
      <c r="J1870" s="5" t="s">
        <v>102</v>
      </c>
    </row>
    <row r="1871" spans="1:10" ht="30">
      <c r="A1871" s="27" t="s">
        <v>1874</v>
      </c>
      <c r="B1871" s="22" t="s">
        <v>1124</v>
      </c>
      <c r="C1871" s="22" t="s">
        <v>58</v>
      </c>
      <c r="D1871" s="22" t="s">
        <v>1124</v>
      </c>
      <c r="E1871" s="3" t="s">
        <v>336</v>
      </c>
      <c r="F1871" s="6">
        <v>1</v>
      </c>
      <c r="G1871" s="6" t="s">
        <v>272</v>
      </c>
      <c r="H1871" s="5">
        <v>2150550</v>
      </c>
      <c r="I1871" s="22" t="s">
        <v>681</v>
      </c>
      <c r="J1871" s="5" t="s">
        <v>102</v>
      </c>
    </row>
    <row r="1872" spans="1:10" ht="30">
      <c r="A1872" s="27" t="s">
        <v>1875</v>
      </c>
      <c r="B1872" s="22" t="s">
        <v>1124</v>
      </c>
      <c r="C1872" s="22" t="s">
        <v>58</v>
      </c>
      <c r="D1872" s="22" t="s">
        <v>1124</v>
      </c>
      <c r="E1872" s="3" t="s">
        <v>336</v>
      </c>
      <c r="F1872" s="6">
        <v>1</v>
      </c>
      <c r="G1872" s="6" t="s">
        <v>275</v>
      </c>
      <c r="H1872" s="5">
        <v>2150550</v>
      </c>
      <c r="I1872" s="22" t="s">
        <v>681</v>
      </c>
      <c r="J1872" s="5" t="s">
        <v>102</v>
      </c>
    </row>
    <row r="1873" spans="1:10" ht="45">
      <c r="A1873" s="27" t="s">
        <v>1876</v>
      </c>
      <c r="B1873" s="22" t="s">
        <v>1124</v>
      </c>
      <c r="C1873" s="22" t="s">
        <v>58</v>
      </c>
      <c r="D1873" s="22" t="s">
        <v>1124</v>
      </c>
      <c r="E1873" s="3" t="s">
        <v>336</v>
      </c>
      <c r="F1873" s="6">
        <v>1</v>
      </c>
      <c r="G1873" s="6" t="s">
        <v>279</v>
      </c>
      <c r="H1873" s="5">
        <v>2150550</v>
      </c>
      <c r="I1873" s="22" t="s">
        <v>681</v>
      </c>
      <c r="J1873" s="5" t="s">
        <v>102</v>
      </c>
    </row>
    <row r="1874" spans="1:10" ht="30">
      <c r="A1874" s="27" t="s">
        <v>1877</v>
      </c>
      <c r="B1874" s="22" t="s">
        <v>1124</v>
      </c>
      <c r="C1874" s="22" t="s">
        <v>58</v>
      </c>
      <c r="D1874" s="22" t="s">
        <v>1124</v>
      </c>
      <c r="E1874" s="3" t="s">
        <v>336</v>
      </c>
      <c r="F1874" s="6">
        <v>1</v>
      </c>
      <c r="G1874" s="6" t="s">
        <v>273</v>
      </c>
      <c r="H1874" s="5">
        <v>2150550</v>
      </c>
      <c r="I1874" s="22" t="s">
        <v>681</v>
      </c>
      <c r="J1874" s="5" t="s">
        <v>102</v>
      </c>
    </row>
    <row r="1875" spans="1:10" ht="30">
      <c r="A1875" s="27" t="s">
        <v>1878</v>
      </c>
      <c r="B1875" s="22" t="s">
        <v>1124</v>
      </c>
      <c r="C1875" s="22" t="s">
        <v>58</v>
      </c>
      <c r="D1875" s="22" t="s">
        <v>1124</v>
      </c>
      <c r="E1875" s="3" t="s">
        <v>336</v>
      </c>
      <c r="F1875" s="6">
        <v>1</v>
      </c>
      <c r="G1875" s="6" t="s">
        <v>274</v>
      </c>
      <c r="H1875" s="5">
        <v>2150550</v>
      </c>
      <c r="I1875" s="22" t="s">
        <v>681</v>
      </c>
      <c r="J1875" s="5" t="s">
        <v>102</v>
      </c>
    </row>
    <row r="1876" spans="1:10" ht="30">
      <c r="A1876" s="27" t="s">
        <v>1879</v>
      </c>
      <c r="B1876" s="22" t="s">
        <v>1124</v>
      </c>
      <c r="C1876" s="22" t="s">
        <v>58</v>
      </c>
      <c r="D1876" s="22" t="s">
        <v>1124</v>
      </c>
      <c r="E1876" s="3" t="s">
        <v>336</v>
      </c>
      <c r="F1876" s="6">
        <v>1</v>
      </c>
      <c r="G1876" s="6" t="s">
        <v>276</v>
      </c>
      <c r="H1876" s="5">
        <v>2150550</v>
      </c>
      <c r="I1876" s="22" t="s">
        <v>681</v>
      </c>
      <c r="J1876" s="5" t="s">
        <v>102</v>
      </c>
    </row>
    <row r="1877" spans="1:10" ht="45">
      <c r="A1877" s="27" t="s">
        <v>1880</v>
      </c>
      <c r="B1877" s="22" t="s">
        <v>1124</v>
      </c>
      <c r="C1877" s="22" t="s">
        <v>58</v>
      </c>
      <c r="D1877" s="22" t="s">
        <v>1124</v>
      </c>
      <c r="E1877" s="3" t="s">
        <v>336</v>
      </c>
      <c r="F1877" s="6">
        <v>1</v>
      </c>
      <c r="G1877" s="6" t="s">
        <v>278</v>
      </c>
      <c r="H1877" s="5">
        <v>2150550</v>
      </c>
      <c r="I1877" s="22" t="s">
        <v>681</v>
      </c>
      <c r="J1877" s="5" t="s">
        <v>102</v>
      </c>
    </row>
    <row r="1878" spans="1:10" ht="30">
      <c r="A1878" s="27" t="s">
        <v>1881</v>
      </c>
      <c r="B1878" s="22" t="s">
        <v>1124</v>
      </c>
      <c r="C1878" s="22" t="s">
        <v>58</v>
      </c>
      <c r="D1878" s="22" t="s">
        <v>1124</v>
      </c>
      <c r="E1878" s="3" t="s">
        <v>336</v>
      </c>
      <c r="F1878" s="6">
        <v>1</v>
      </c>
      <c r="G1878" s="6" t="s">
        <v>281</v>
      </c>
      <c r="H1878" s="5">
        <v>2150550</v>
      </c>
      <c r="I1878" s="22" t="s">
        <v>681</v>
      </c>
      <c r="J1878" s="5" t="s">
        <v>102</v>
      </c>
    </row>
    <row r="1879" spans="1:10" ht="30">
      <c r="A1879" s="27" t="s">
        <v>1882</v>
      </c>
      <c r="B1879" s="22" t="s">
        <v>1124</v>
      </c>
      <c r="C1879" s="22" t="s">
        <v>58</v>
      </c>
      <c r="D1879" s="22" t="s">
        <v>1124</v>
      </c>
      <c r="E1879" s="3" t="s">
        <v>336</v>
      </c>
      <c r="F1879" s="6">
        <v>1</v>
      </c>
      <c r="G1879" s="6" t="s">
        <v>270</v>
      </c>
      <c r="H1879" s="5">
        <v>2150550</v>
      </c>
      <c r="I1879" s="22" t="s">
        <v>681</v>
      </c>
      <c r="J1879" s="5" t="s">
        <v>102</v>
      </c>
    </row>
    <row r="1880" spans="1:10" ht="45">
      <c r="A1880" s="27" t="s">
        <v>1883</v>
      </c>
      <c r="B1880" s="22" t="s">
        <v>1124</v>
      </c>
      <c r="C1880" s="22" t="s">
        <v>58</v>
      </c>
      <c r="D1880" s="22" t="s">
        <v>1124</v>
      </c>
      <c r="E1880" s="3" t="s">
        <v>336</v>
      </c>
      <c r="F1880" s="6">
        <v>1</v>
      </c>
      <c r="G1880" s="6" t="s">
        <v>350</v>
      </c>
      <c r="H1880" s="5">
        <v>2150550</v>
      </c>
      <c r="I1880" s="22" t="s">
        <v>681</v>
      </c>
      <c r="J1880" s="5" t="s">
        <v>102</v>
      </c>
    </row>
    <row r="1881" spans="1:10" ht="45">
      <c r="A1881" s="27" t="s">
        <v>1884</v>
      </c>
      <c r="B1881" s="22" t="s">
        <v>1124</v>
      </c>
      <c r="C1881" s="22" t="s">
        <v>58</v>
      </c>
      <c r="D1881" s="22" t="s">
        <v>1124</v>
      </c>
      <c r="E1881" s="3" t="s">
        <v>336</v>
      </c>
      <c r="F1881" s="6">
        <v>1</v>
      </c>
      <c r="G1881" s="6" t="s">
        <v>283</v>
      </c>
      <c r="H1881" s="5">
        <v>2150550</v>
      </c>
      <c r="I1881" s="22" t="s">
        <v>681</v>
      </c>
      <c r="J1881" s="5" t="s">
        <v>102</v>
      </c>
    </row>
    <row r="1882" spans="1:10" ht="30">
      <c r="A1882" s="27" t="s">
        <v>1949</v>
      </c>
      <c r="B1882" s="22" t="s">
        <v>365</v>
      </c>
      <c r="C1882" s="22" t="s">
        <v>60</v>
      </c>
      <c r="D1882" s="3" t="s">
        <v>365</v>
      </c>
      <c r="E1882" s="3" t="s">
        <v>578</v>
      </c>
      <c r="F1882" s="6" t="s">
        <v>578</v>
      </c>
      <c r="G1882" s="6" t="s">
        <v>578</v>
      </c>
      <c r="H1882" s="15">
        <f>SUM(H1883:H1893)</f>
        <v>640195.71</v>
      </c>
      <c r="I1882" s="3" t="s">
        <v>578</v>
      </c>
      <c r="J1882" s="5" t="s">
        <v>102</v>
      </c>
    </row>
    <row r="1883" spans="1:10" ht="30">
      <c r="A1883" s="27" t="s">
        <v>1950</v>
      </c>
      <c r="B1883" s="22" t="s">
        <v>365</v>
      </c>
      <c r="C1883" s="3" t="s">
        <v>60</v>
      </c>
      <c r="D1883" s="3" t="s">
        <v>365</v>
      </c>
      <c r="E1883" s="3" t="s">
        <v>336</v>
      </c>
      <c r="F1883" s="6">
        <v>1</v>
      </c>
      <c r="G1883" s="6" t="s">
        <v>272</v>
      </c>
      <c r="H1883" s="5">
        <v>0</v>
      </c>
      <c r="I1883" s="22" t="s">
        <v>679</v>
      </c>
      <c r="J1883" s="5" t="s">
        <v>102</v>
      </c>
    </row>
    <row r="1884" spans="1:10" ht="45">
      <c r="A1884" s="27" t="s">
        <v>1951</v>
      </c>
      <c r="B1884" s="22" t="s">
        <v>365</v>
      </c>
      <c r="C1884" s="3" t="s">
        <v>60</v>
      </c>
      <c r="D1884" s="3" t="s">
        <v>365</v>
      </c>
      <c r="E1884" s="3" t="s">
        <v>336</v>
      </c>
      <c r="F1884" s="6">
        <v>1</v>
      </c>
      <c r="G1884" s="6" t="s">
        <v>279</v>
      </c>
      <c r="H1884" s="5">
        <f>215000-141964.29</f>
        <v>73035.709999999992</v>
      </c>
      <c r="I1884" s="22" t="s">
        <v>681</v>
      </c>
      <c r="J1884" s="5" t="s">
        <v>102</v>
      </c>
    </row>
    <row r="1885" spans="1:10" ht="30">
      <c r="A1885" s="27" t="s">
        <v>1952</v>
      </c>
      <c r="B1885" s="51" t="s">
        <v>365</v>
      </c>
      <c r="C1885" s="3" t="s">
        <v>60</v>
      </c>
      <c r="D1885" s="3" t="s">
        <v>365</v>
      </c>
      <c r="E1885" s="3" t="s">
        <v>336</v>
      </c>
      <c r="F1885" s="6">
        <v>1</v>
      </c>
      <c r="G1885" s="6" t="s">
        <v>276</v>
      </c>
      <c r="H1885" s="5">
        <f>260000-41699.11-40158.04-41699.11-35000</f>
        <v>101443.73999999999</v>
      </c>
      <c r="I1885" s="22" t="s">
        <v>681</v>
      </c>
      <c r="J1885" s="5" t="s">
        <v>102</v>
      </c>
    </row>
    <row r="1886" spans="1:10" ht="30">
      <c r="A1886" s="27" t="s">
        <v>1953</v>
      </c>
      <c r="B1886" s="22" t="s">
        <v>365</v>
      </c>
      <c r="C1886" s="3" t="s">
        <v>60</v>
      </c>
      <c r="D1886" s="3" t="s">
        <v>365</v>
      </c>
      <c r="E1886" s="3" t="s">
        <v>336</v>
      </c>
      <c r="F1886" s="6">
        <v>1</v>
      </c>
      <c r="G1886" s="6" t="s">
        <v>281</v>
      </c>
      <c r="H1886" s="5">
        <v>200000</v>
      </c>
      <c r="I1886" s="22" t="s">
        <v>681</v>
      </c>
      <c r="J1886" s="5" t="s">
        <v>102</v>
      </c>
    </row>
    <row r="1887" spans="1:10" ht="30">
      <c r="A1887" s="27" t="s">
        <v>1954</v>
      </c>
      <c r="B1887" s="22" t="s">
        <v>365</v>
      </c>
      <c r="C1887" s="3" t="s">
        <v>60</v>
      </c>
      <c r="D1887" s="3" t="s">
        <v>365</v>
      </c>
      <c r="E1887" s="3" t="s">
        <v>336</v>
      </c>
      <c r="F1887" s="6">
        <v>1</v>
      </c>
      <c r="G1887" s="6" t="s">
        <v>270</v>
      </c>
      <c r="H1887" s="5">
        <f>107160-2000</f>
        <v>105160</v>
      </c>
      <c r="I1887" s="22" t="s">
        <v>681</v>
      </c>
      <c r="J1887" s="5" t="s">
        <v>102</v>
      </c>
    </row>
    <row r="1888" spans="1:10" ht="75">
      <c r="A1888" s="27" t="s">
        <v>3222</v>
      </c>
      <c r="B1888" s="22" t="s">
        <v>3233</v>
      </c>
      <c r="C1888" s="22" t="s">
        <v>60</v>
      </c>
      <c r="D1888" s="22" t="s">
        <v>3223</v>
      </c>
      <c r="E1888" s="22" t="s">
        <v>336</v>
      </c>
      <c r="F1888" s="6">
        <v>1</v>
      </c>
      <c r="G1888" s="22" t="s">
        <v>385</v>
      </c>
      <c r="H1888" s="5">
        <v>41699.11</v>
      </c>
      <c r="I1888" s="22" t="s">
        <v>3340</v>
      </c>
      <c r="J1888" s="5" t="s">
        <v>102</v>
      </c>
    </row>
    <row r="1889" spans="1:10" ht="45">
      <c r="A1889" s="48" t="s">
        <v>3331</v>
      </c>
      <c r="B1889" s="22" t="s">
        <v>3332</v>
      </c>
      <c r="C1889" s="22" t="s">
        <v>60</v>
      </c>
      <c r="D1889" s="22" t="s">
        <v>3332</v>
      </c>
      <c r="E1889" s="22" t="s">
        <v>336</v>
      </c>
      <c r="F1889" s="6">
        <v>1</v>
      </c>
      <c r="G1889" s="22" t="s">
        <v>217</v>
      </c>
      <c r="H1889" s="5">
        <v>40158.04</v>
      </c>
      <c r="I1889" s="22" t="s">
        <v>679</v>
      </c>
      <c r="J1889" s="5" t="s">
        <v>102</v>
      </c>
    </row>
    <row r="1890" spans="1:10" ht="60">
      <c r="A1890" s="48" t="s">
        <v>3333</v>
      </c>
      <c r="B1890" s="22" t="s">
        <v>3334</v>
      </c>
      <c r="C1890" s="22" t="s">
        <v>60</v>
      </c>
      <c r="D1890" s="22" t="s">
        <v>3334</v>
      </c>
      <c r="E1890" s="22" t="s">
        <v>336</v>
      </c>
      <c r="F1890" s="6">
        <v>1</v>
      </c>
      <c r="G1890" s="22" t="s">
        <v>385</v>
      </c>
      <c r="H1890" s="5">
        <v>41699.11</v>
      </c>
      <c r="I1890" s="22" t="s">
        <v>679</v>
      </c>
      <c r="J1890" s="5" t="s">
        <v>102</v>
      </c>
    </row>
    <row r="1891" spans="1:10" ht="60">
      <c r="A1891" s="48" t="s">
        <v>3335</v>
      </c>
      <c r="B1891" s="22" t="s">
        <v>3336</v>
      </c>
      <c r="C1891" s="22" t="s">
        <v>60</v>
      </c>
      <c r="D1891" s="22" t="s">
        <v>3336</v>
      </c>
      <c r="E1891" s="22" t="s">
        <v>336</v>
      </c>
      <c r="F1891" s="6">
        <v>1</v>
      </c>
      <c r="G1891" s="22" t="s">
        <v>3337</v>
      </c>
      <c r="H1891" s="5">
        <v>15000</v>
      </c>
      <c r="I1891" s="22" t="s">
        <v>679</v>
      </c>
      <c r="J1891" s="5" t="s">
        <v>102</v>
      </c>
    </row>
    <row r="1892" spans="1:10" ht="75">
      <c r="A1892" s="48" t="s">
        <v>3338</v>
      </c>
      <c r="B1892" s="22" t="s">
        <v>3339</v>
      </c>
      <c r="C1892" s="22" t="s">
        <v>60</v>
      </c>
      <c r="D1892" s="22" t="s">
        <v>3339</v>
      </c>
      <c r="E1892" s="22" t="s">
        <v>336</v>
      </c>
      <c r="F1892" s="6">
        <v>1</v>
      </c>
      <c r="G1892" s="22" t="s">
        <v>3337</v>
      </c>
      <c r="H1892" s="5">
        <v>20000</v>
      </c>
      <c r="I1892" s="22" t="s">
        <v>679</v>
      </c>
      <c r="J1892" s="5" t="s">
        <v>102</v>
      </c>
    </row>
    <row r="1893" spans="1:10" ht="45">
      <c r="A1893" s="48" t="s">
        <v>3356</v>
      </c>
      <c r="B1893" s="22" t="s">
        <v>3357</v>
      </c>
      <c r="C1893" s="22" t="s">
        <v>60</v>
      </c>
      <c r="D1893" s="22" t="s">
        <v>3357</v>
      </c>
      <c r="E1893" s="22" t="s">
        <v>336</v>
      </c>
      <c r="F1893" s="6">
        <v>1</v>
      </c>
      <c r="G1893" s="6" t="s">
        <v>227</v>
      </c>
      <c r="H1893" s="5">
        <v>2000</v>
      </c>
      <c r="I1893" s="22" t="s">
        <v>680</v>
      </c>
      <c r="J1893" s="5" t="s">
        <v>102</v>
      </c>
    </row>
    <row r="1894" spans="1:10" ht="30">
      <c r="A1894" s="27" t="s">
        <v>3198</v>
      </c>
      <c r="B1894" s="22" t="s">
        <v>366</v>
      </c>
      <c r="C1894" s="22" t="s">
        <v>578</v>
      </c>
      <c r="D1894" s="3" t="s">
        <v>366</v>
      </c>
      <c r="E1894" s="3" t="s">
        <v>578</v>
      </c>
      <c r="F1894" s="6" t="s">
        <v>578</v>
      </c>
      <c r="G1894" s="6" t="s">
        <v>125</v>
      </c>
      <c r="H1894" s="15">
        <f>SUM(H1895:H1895)</f>
        <v>380000</v>
      </c>
      <c r="I1894" s="22" t="s">
        <v>578</v>
      </c>
      <c r="J1894" s="5" t="s">
        <v>102</v>
      </c>
    </row>
    <row r="1895" spans="1:10" ht="45">
      <c r="A1895" s="27" t="s">
        <v>3197</v>
      </c>
      <c r="B1895" s="22" t="s">
        <v>366</v>
      </c>
      <c r="C1895" s="3" t="s">
        <v>593</v>
      </c>
      <c r="D1895" s="3" t="s">
        <v>366</v>
      </c>
      <c r="E1895" s="3" t="s">
        <v>336</v>
      </c>
      <c r="F1895" s="6"/>
      <c r="G1895" s="6" t="s">
        <v>279</v>
      </c>
      <c r="H1895" s="5">
        <v>380000</v>
      </c>
      <c r="I1895" s="22" t="s">
        <v>678</v>
      </c>
      <c r="J1895" s="5" t="s">
        <v>102</v>
      </c>
    </row>
    <row r="1896" spans="1:10" ht="30">
      <c r="A1896" s="27" t="s">
        <v>1955</v>
      </c>
      <c r="B1896" s="12" t="s">
        <v>367</v>
      </c>
      <c r="C1896" s="22" t="s">
        <v>58</v>
      </c>
      <c r="D1896" s="3" t="s">
        <v>367</v>
      </c>
      <c r="E1896" s="3" t="s">
        <v>578</v>
      </c>
      <c r="F1896" s="6" t="s">
        <v>578</v>
      </c>
      <c r="G1896" s="6" t="s">
        <v>578</v>
      </c>
      <c r="H1896" s="15">
        <f>SUM(H1897:H1910)</f>
        <v>13500043.200000003</v>
      </c>
      <c r="I1896" s="3" t="s">
        <v>578</v>
      </c>
      <c r="J1896" s="5" t="s">
        <v>102</v>
      </c>
    </row>
    <row r="1897" spans="1:10" ht="30">
      <c r="A1897" s="27" t="s">
        <v>1956</v>
      </c>
      <c r="B1897" s="22" t="s">
        <v>367</v>
      </c>
      <c r="C1897" s="22" t="s">
        <v>58</v>
      </c>
      <c r="D1897" s="3" t="s">
        <v>367</v>
      </c>
      <c r="E1897" s="3" t="s">
        <v>336</v>
      </c>
      <c r="F1897" s="6">
        <v>1</v>
      </c>
      <c r="G1897" s="6" t="s">
        <v>282</v>
      </c>
      <c r="H1897" s="5">
        <v>964288.8</v>
      </c>
      <c r="I1897" s="22" t="s">
        <v>681</v>
      </c>
      <c r="J1897" s="5" t="s">
        <v>102</v>
      </c>
    </row>
    <row r="1898" spans="1:10" ht="30">
      <c r="A1898" s="27" t="s">
        <v>1957</v>
      </c>
      <c r="B1898" s="22" t="s">
        <v>367</v>
      </c>
      <c r="C1898" s="22" t="s">
        <v>58</v>
      </c>
      <c r="D1898" s="3" t="s">
        <v>367</v>
      </c>
      <c r="E1898" s="3" t="s">
        <v>336</v>
      </c>
      <c r="F1898" s="6">
        <v>1</v>
      </c>
      <c r="G1898" s="6" t="s">
        <v>271</v>
      </c>
      <c r="H1898" s="5">
        <v>964288.8</v>
      </c>
      <c r="I1898" s="22" t="s">
        <v>681</v>
      </c>
      <c r="J1898" s="5" t="s">
        <v>102</v>
      </c>
    </row>
    <row r="1899" spans="1:10" ht="30">
      <c r="A1899" s="27" t="s">
        <v>1958</v>
      </c>
      <c r="B1899" s="22" t="s">
        <v>367</v>
      </c>
      <c r="C1899" s="22" t="s">
        <v>58</v>
      </c>
      <c r="D1899" s="3" t="s">
        <v>367</v>
      </c>
      <c r="E1899" s="3" t="s">
        <v>336</v>
      </c>
      <c r="F1899" s="6">
        <v>1</v>
      </c>
      <c r="G1899" s="6" t="s">
        <v>272</v>
      </c>
      <c r="H1899" s="5">
        <v>964288.8</v>
      </c>
      <c r="I1899" s="22" t="s">
        <v>681</v>
      </c>
      <c r="J1899" s="5" t="s">
        <v>102</v>
      </c>
    </row>
    <row r="1900" spans="1:10" ht="30">
      <c r="A1900" s="27" t="s">
        <v>1959</v>
      </c>
      <c r="B1900" s="22" t="s">
        <v>367</v>
      </c>
      <c r="C1900" s="22" t="s">
        <v>58</v>
      </c>
      <c r="D1900" s="3" t="s">
        <v>367</v>
      </c>
      <c r="E1900" s="3" t="s">
        <v>336</v>
      </c>
      <c r="F1900" s="6">
        <v>1</v>
      </c>
      <c r="G1900" s="6" t="s">
        <v>275</v>
      </c>
      <c r="H1900" s="5">
        <v>964288.8</v>
      </c>
      <c r="I1900" s="22" t="s">
        <v>681</v>
      </c>
      <c r="J1900" s="5" t="s">
        <v>102</v>
      </c>
    </row>
    <row r="1901" spans="1:10" ht="45">
      <c r="A1901" s="27" t="s">
        <v>1960</v>
      </c>
      <c r="B1901" s="22" t="s">
        <v>367</v>
      </c>
      <c r="C1901" s="22" t="s">
        <v>58</v>
      </c>
      <c r="D1901" s="3" t="s">
        <v>367</v>
      </c>
      <c r="E1901" s="3" t="s">
        <v>336</v>
      </c>
      <c r="F1901" s="6">
        <v>1</v>
      </c>
      <c r="G1901" s="6" t="s">
        <v>279</v>
      </c>
      <c r="H1901" s="5">
        <v>964288.8</v>
      </c>
      <c r="I1901" s="22" t="s">
        <v>681</v>
      </c>
      <c r="J1901" s="5" t="s">
        <v>102</v>
      </c>
    </row>
    <row r="1902" spans="1:10" ht="30">
      <c r="A1902" s="27" t="s">
        <v>1961</v>
      </c>
      <c r="B1902" s="22" t="s">
        <v>367</v>
      </c>
      <c r="C1902" s="22" t="s">
        <v>58</v>
      </c>
      <c r="D1902" s="3" t="s">
        <v>367</v>
      </c>
      <c r="E1902" s="3" t="s">
        <v>336</v>
      </c>
      <c r="F1902" s="6">
        <v>1</v>
      </c>
      <c r="G1902" s="6" t="s">
        <v>270</v>
      </c>
      <c r="H1902" s="5">
        <v>964288.8</v>
      </c>
      <c r="I1902" s="22" t="s">
        <v>681</v>
      </c>
      <c r="J1902" s="5" t="s">
        <v>102</v>
      </c>
    </row>
    <row r="1903" spans="1:10" ht="45">
      <c r="A1903" s="27" t="s">
        <v>1962</v>
      </c>
      <c r="B1903" s="22" t="s">
        <v>367</v>
      </c>
      <c r="C1903" s="22" t="s">
        <v>58</v>
      </c>
      <c r="D1903" s="3" t="s">
        <v>367</v>
      </c>
      <c r="E1903" s="3" t="s">
        <v>336</v>
      </c>
      <c r="F1903" s="6">
        <v>1</v>
      </c>
      <c r="G1903" s="6" t="s">
        <v>283</v>
      </c>
      <c r="H1903" s="5">
        <v>964288.8</v>
      </c>
      <c r="I1903" s="22" t="s">
        <v>681</v>
      </c>
      <c r="J1903" s="5" t="s">
        <v>102</v>
      </c>
    </row>
    <row r="1904" spans="1:10" ht="30">
      <c r="A1904" s="27" t="s">
        <v>1963</v>
      </c>
      <c r="B1904" s="22" t="s">
        <v>367</v>
      </c>
      <c r="C1904" s="22" t="s">
        <v>58</v>
      </c>
      <c r="D1904" s="3" t="s">
        <v>367</v>
      </c>
      <c r="E1904" s="3" t="s">
        <v>336</v>
      </c>
      <c r="F1904" s="6">
        <v>1</v>
      </c>
      <c r="G1904" s="6" t="s">
        <v>211</v>
      </c>
      <c r="H1904" s="5">
        <v>964288.8</v>
      </c>
      <c r="I1904" s="22" t="s">
        <v>681</v>
      </c>
      <c r="J1904" s="5" t="s">
        <v>102</v>
      </c>
    </row>
    <row r="1905" spans="1:10" ht="30">
      <c r="A1905" s="27" t="s">
        <v>1964</v>
      </c>
      <c r="B1905" s="22" t="s">
        <v>367</v>
      </c>
      <c r="C1905" s="22" t="s">
        <v>58</v>
      </c>
      <c r="D1905" s="3" t="s">
        <v>367</v>
      </c>
      <c r="E1905" s="3" t="s">
        <v>336</v>
      </c>
      <c r="F1905" s="6">
        <v>1</v>
      </c>
      <c r="G1905" s="6" t="s">
        <v>273</v>
      </c>
      <c r="H1905" s="5">
        <v>964288.8</v>
      </c>
      <c r="I1905" s="22" t="s">
        <v>681</v>
      </c>
      <c r="J1905" s="5" t="s">
        <v>102</v>
      </c>
    </row>
    <row r="1906" spans="1:10" ht="30">
      <c r="A1906" s="27" t="s">
        <v>1965</v>
      </c>
      <c r="B1906" s="22" t="s">
        <v>367</v>
      </c>
      <c r="C1906" s="22" t="s">
        <v>58</v>
      </c>
      <c r="D1906" s="3" t="s">
        <v>367</v>
      </c>
      <c r="E1906" s="3" t="s">
        <v>336</v>
      </c>
      <c r="F1906" s="6">
        <v>1</v>
      </c>
      <c r="G1906" s="6" t="s">
        <v>274</v>
      </c>
      <c r="H1906" s="5">
        <v>964288.8</v>
      </c>
      <c r="I1906" s="22" t="s">
        <v>681</v>
      </c>
      <c r="J1906" s="5" t="s">
        <v>102</v>
      </c>
    </row>
    <row r="1907" spans="1:10" ht="30">
      <c r="A1907" s="27" t="s">
        <v>1966</v>
      </c>
      <c r="B1907" s="22" t="s">
        <v>367</v>
      </c>
      <c r="C1907" s="22" t="s">
        <v>58</v>
      </c>
      <c r="D1907" s="3" t="s">
        <v>367</v>
      </c>
      <c r="E1907" s="3" t="s">
        <v>336</v>
      </c>
      <c r="F1907" s="6">
        <v>1</v>
      </c>
      <c r="G1907" s="6" t="s">
        <v>276</v>
      </c>
      <c r="H1907" s="5">
        <v>964288.8</v>
      </c>
      <c r="I1907" s="22" t="s">
        <v>681</v>
      </c>
      <c r="J1907" s="5" t="s">
        <v>102</v>
      </c>
    </row>
    <row r="1908" spans="1:10" ht="45">
      <c r="A1908" s="27" t="s">
        <v>1967</v>
      </c>
      <c r="B1908" s="22" t="s">
        <v>367</v>
      </c>
      <c r="C1908" s="22" t="s">
        <v>58</v>
      </c>
      <c r="D1908" s="3" t="s">
        <v>367</v>
      </c>
      <c r="E1908" s="3" t="s">
        <v>336</v>
      </c>
      <c r="F1908" s="6">
        <v>1</v>
      </c>
      <c r="G1908" s="6" t="s">
        <v>278</v>
      </c>
      <c r="H1908" s="5">
        <v>964288.8</v>
      </c>
      <c r="I1908" s="22" t="s">
        <v>681</v>
      </c>
      <c r="J1908" s="5" t="s">
        <v>102</v>
      </c>
    </row>
    <row r="1909" spans="1:10" ht="30">
      <c r="A1909" s="27" t="s">
        <v>1968</v>
      </c>
      <c r="B1909" s="22" t="s">
        <v>367</v>
      </c>
      <c r="C1909" s="22" t="s">
        <v>58</v>
      </c>
      <c r="D1909" s="3" t="s">
        <v>367</v>
      </c>
      <c r="E1909" s="3" t="s">
        <v>336</v>
      </c>
      <c r="F1909" s="6">
        <v>1</v>
      </c>
      <c r="G1909" s="6" t="s">
        <v>281</v>
      </c>
      <c r="H1909" s="5">
        <v>964288.8</v>
      </c>
      <c r="I1909" s="22" t="s">
        <v>681</v>
      </c>
      <c r="J1909" s="5" t="s">
        <v>102</v>
      </c>
    </row>
    <row r="1910" spans="1:10" ht="45">
      <c r="A1910" s="27" t="s">
        <v>1969</v>
      </c>
      <c r="B1910" s="22" t="s">
        <v>367</v>
      </c>
      <c r="C1910" s="22" t="s">
        <v>58</v>
      </c>
      <c r="D1910" s="3" t="s">
        <v>367</v>
      </c>
      <c r="E1910" s="3" t="s">
        <v>336</v>
      </c>
      <c r="F1910" s="6">
        <v>1</v>
      </c>
      <c r="G1910" s="6" t="s">
        <v>350</v>
      </c>
      <c r="H1910" s="5">
        <v>964288.8</v>
      </c>
      <c r="I1910" s="22" t="s">
        <v>681</v>
      </c>
      <c r="J1910" s="5" t="s">
        <v>102</v>
      </c>
    </row>
    <row r="1911" spans="1:10" ht="45">
      <c r="A1911" s="27" t="s">
        <v>1970</v>
      </c>
      <c r="B1911" s="12" t="s">
        <v>1125</v>
      </c>
      <c r="C1911" s="22" t="s">
        <v>58</v>
      </c>
      <c r="D1911" s="3" t="s">
        <v>575</v>
      </c>
      <c r="E1911" s="4" t="s">
        <v>578</v>
      </c>
      <c r="F1911" s="4" t="s">
        <v>578</v>
      </c>
      <c r="G1911" s="3" t="s">
        <v>125</v>
      </c>
      <c r="H1911" s="15">
        <f>SUM(H1912:H1925)</f>
        <v>73072984</v>
      </c>
      <c r="I1911" s="3" t="s">
        <v>578</v>
      </c>
      <c r="J1911" s="5" t="s">
        <v>102</v>
      </c>
    </row>
    <row r="1912" spans="1:10" ht="45">
      <c r="A1912" s="27" t="s">
        <v>1971</v>
      </c>
      <c r="B1912" s="22" t="s">
        <v>1125</v>
      </c>
      <c r="C1912" s="3" t="s">
        <v>58</v>
      </c>
      <c r="D1912" s="3" t="s">
        <v>575</v>
      </c>
      <c r="E1912" s="3" t="s">
        <v>336</v>
      </c>
      <c r="F1912" s="6">
        <v>1</v>
      </c>
      <c r="G1912" s="6" t="s">
        <v>282</v>
      </c>
      <c r="H1912" s="5">
        <f>6265856-1046427</f>
        <v>5219429</v>
      </c>
      <c r="I1912" s="3" t="s">
        <v>681</v>
      </c>
      <c r="J1912" s="5" t="s">
        <v>102</v>
      </c>
    </row>
    <row r="1913" spans="1:10" ht="45">
      <c r="A1913" s="27" t="s">
        <v>1972</v>
      </c>
      <c r="B1913" s="22" t="s">
        <v>1125</v>
      </c>
      <c r="C1913" s="3" t="s">
        <v>58</v>
      </c>
      <c r="D1913" s="3" t="s">
        <v>575</v>
      </c>
      <c r="E1913" s="3" t="s">
        <v>336</v>
      </c>
      <c r="F1913" s="6">
        <v>1</v>
      </c>
      <c r="G1913" s="6" t="s">
        <v>271</v>
      </c>
      <c r="H1913" s="5">
        <f t="shared" ref="H1913:H1924" si="0">6265856-1046427</f>
        <v>5219429</v>
      </c>
      <c r="I1913" s="22" t="s">
        <v>681</v>
      </c>
      <c r="J1913" s="5" t="s">
        <v>102</v>
      </c>
    </row>
    <row r="1914" spans="1:10" ht="45">
      <c r="A1914" s="27" t="s">
        <v>1973</v>
      </c>
      <c r="B1914" s="22" t="s">
        <v>1125</v>
      </c>
      <c r="C1914" s="3" t="s">
        <v>58</v>
      </c>
      <c r="D1914" s="3" t="s">
        <v>575</v>
      </c>
      <c r="E1914" s="3" t="s">
        <v>336</v>
      </c>
      <c r="F1914" s="6">
        <v>1</v>
      </c>
      <c r="G1914" s="6" t="s">
        <v>272</v>
      </c>
      <c r="H1914" s="5">
        <f t="shared" si="0"/>
        <v>5219429</v>
      </c>
      <c r="I1914" s="22" t="s">
        <v>681</v>
      </c>
      <c r="J1914" s="5" t="s">
        <v>102</v>
      </c>
    </row>
    <row r="1915" spans="1:10" ht="45">
      <c r="A1915" s="27" t="s">
        <v>1974</v>
      </c>
      <c r="B1915" s="22" t="s">
        <v>1125</v>
      </c>
      <c r="C1915" s="3" t="s">
        <v>58</v>
      </c>
      <c r="D1915" s="3" t="s">
        <v>575</v>
      </c>
      <c r="E1915" s="3" t="s">
        <v>336</v>
      </c>
      <c r="F1915" s="6">
        <v>1</v>
      </c>
      <c r="G1915" s="6" t="s">
        <v>275</v>
      </c>
      <c r="H1915" s="5">
        <f t="shared" si="0"/>
        <v>5219429</v>
      </c>
      <c r="I1915" s="22" t="s">
        <v>681</v>
      </c>
      <c r="J1915" s="5" t="s">
        <v>102</v>
      </c>
    </row>
    <row r="1916" spans="1:10" ht="45">
      <c r="A1916" s="27" t="s">
        <v>1975</v>
      </c>
      <c r="B1916" s="22" t="s">
        <v>1125</v>
      </c>
      <c r="C1916" s="3" t="s">
        <v>58</v>
      </c>
      <c r="D1916" s="3" t="s">
        <v>575</v>
      </c>
      <c r="E1916" s="3" t="s">
        <v>336</v>
      </c>
      <c r="F1916" s="6">
        <v>1</v>
      </c>
      <c r="G1916" s="6" t="s">
        <v>279</v>
      </c>
      <c r="H1916" s="5">
        <f t="shared" si="0"/>
        <v>5219429</v>
      </c>
      <c r="I1916" s="22" t="s">
        <v>681</v>
      </c>
      <c r="J1916" s="5" t="s">
        <v>102</v>
      </c>
    </row>
    <row r="1917" spans="1:10" ht="45">
      <c r="A1917" s="27" t="s">
        <v>1976</v>
      </c>
      <c r="B1917" s="22" t="s">
        <v>1125</v>
      </c>
      <c r="C1917" s="3" t="s">
        <v>58</v>
      </c>
      <c r="D1917" s="3" t="s">
        <v>575</v>
      </c>
      <c r="E1917" s="3" t="s">
        <v>336</v>
      </c>
      <c r="F1917" s="6">
        <v>1</v>
      </c>
      <c r="G1917" s="6" t="s">
        <v>270</v>
      </c>
      <c r="H1917" s="5">
        <f t="shared" si="0"/>
        <v>5219429</v>
      </c>
      <c r="I1917" s="22" t="s">
        <v>681</v>
      </c>
      <c r="J1917" s="5" t="s">
        <v>102</v>
      </c>
    </row>
    <row r="1918" spans="1:10" ht="45">
      <c r="A1918" s="27" t="s">
        <v>1977</v>
      </c>
      <c r="B1918" s="22" t="s">
        <v>1125</v>
      </c>
      <c r="C1918" s="3" t="s">
        <v>58</v>
      </c>
      <c r="D1918" s="3" t="s">
        <v>575</v>
      </c>
      <c r="E1918" s="3" t="s">
        <v>336</v>
      </c>
      <c r="F1918" s="6">
        <v>1</v>
      </c>
      <c r="G1918" s="6" t="s">
        <v>283</v>
      </c>
      <c r="H1918" s="5">
        <f t="shared" si="0"/>
        <v>5219429</v>
      </c>
      <c r="I1918" s="22" t="s">
        <v>681</v>
      </c>
      <c r="J1918" s="5" t="s">
        <v>102</v>
      </c>
    </row>
    <row r="1919" spans="1:10" ht="45">
      <c r="A1919" s="27" t="s">
        <v>1978</v>
      </c>
      <c r="B1919" s="22" t="s">
        <v>1125</v>
      </c>
      <c r="C1919" s="3" t="s">
        <v>58</v>
      </c>
      <c r="D1919" s="3" t="s">
        <v>575</v>
      </c>
      <c r="E1919" s="3" t="s">
        <v>336</v>
      </c>
      <c r="F1919" s="6">
        <v>1</v>
      </c>
      <c r="G1919" s="6" t="s">
        <v>211</v>
      </c>
      <c r="H1919" s="5">
        <f t="shared" si="0"/>
        <v>5219429</v>
      </c>
      <c r="I1919" s="22" t="s">
        <v>681</v>
      </c>
      <c r="J1919" s="5" t="s">
        <v>102</v>
      </c>
    </row>
    <row r="1920" spans="1:10" ht="45">
      <c r="A1920" s="27" t="s">
        <v>1979</v>
      </c>
      <c r="B1920" s="22" t="s">
        <v>1125</v>
      </c>
      <c r="C1920" s="3" t="s">
        <v>58</v>
      </c>
      <c r="D1920" s="3" t="s">
        <v>575</v>
      </c>
      <c r="E1920" s="3" t="s">
        <v>336</v>
      </c>
      <c r="F1920" s="6">
        <v>1</v>
      </c>
      <c r="G1920" s="6" t="s">
        <v>273</v>
      </c>
      <c r="H1920" s="5">
        <f t="shared" si="0"/>
        <v>5219429</v>
      </c>
      <c r="I1920" s="22" t="s">
        <v>681</v>
      </c>
      <c r="J1920" s="5" t="s">
        <v>102</v>
      </c>
    </row>
    <row r="1921" spans="1:10" ht="45">
      <c r="A1921" s="27" t="s">
        <v>1980</v>
      </c>
      <c r="B1921" s="22" t="s">
        <v>1125</v>
      </c>
      <c r="C1921" s="3" t="s">
        <v>58</v>
      </c>
      <c r="D1921" s="3" t="s">
        <v>575</v>
      </c>
      <c r="E1921" s="3" t="s">
        <v>336</v>
      </c>
      <c r="F1921" s="6">
        <v>1</v>
      </c>
      <c r="G1921" s="6" t="s">
        <v>274</v>
      </c>
      <c r="H1921" s="5">
        <f t="shared" si="0"/>
        <v>5219429</v>
      </c>
      <c r="I1921" s="22" t="s">
        <v>681</v>
      </c>
      <c r="J1921" s="5" t="s">
        <v>102</v>
      </c>
    </row>
    <row r="1922" spans="1:10" ht="45">
      <c r="A1922" s="27" t="s">
        <v>1981</v>
      </c>
      <c r="B1922" s="22" t="s">
        <v>1125</v>
      </c>
      <c r="C1922" s="3" t="s">
        <v>58</v>
      </c>
      <c r="D1922" s="3" t="s">
        <v>575</v>
      </c>
      <c r="E1922" s="3" t="s">
        <v>336</v>
      </c>
      <c r="F1922" s="6">
        <v>1</v>
      </c>
      <c r="G1922" s="6" t="s">
        <v>276</v>
      </c>
      <c r="H1922" s="5">
        <f t="shared" si="0"/>
        <v>5219429</v>
      </c>
      <c r="I1922" s="22" t="s">
        <v>681</v>
      </c>
      <c r="J1922" s="5" t="s">
        <v>102</v>
      </c>
    </row>
    <row r="1923" spans="1:10" ht="45">
      <c r="A1923" s="27" t="s">
        <v>1982</v>
      </c>
      <c r="B1923" s="22" t="s">
        <v>1125</v>
      </c>
      <c r="C1923" s="3" t="s">
        <v>58</v>
      </c>
      <c r="D1923" s="3" t="s">
        <v>575</v>
      </c>
      <c r="E1923" s="3" t="s">
        <v>336</v>
      </c>
      <c r="F1923" s="6">
        <v>1</v>
      </c>
      <c r="G1923" s="6" t="s">
        <v>278</v>
      </c>
      <c r="H1923" s="5">
        <f t="shared" si="0"/>
        <v>5219429</v>
      </c>
      <c r="I1923" s="22" t="s">
        <v>681</v>
      </c>
      <c r="J1923" s="5" t="s">
        <v>102</v>
      </c>
    </row>
    <row r="1924" spans="1:10" ht="45">
      <c r="A1924" s="27" t="s">
        <v>1983</v>
      </c>
      <c r="B1924" s="22" t="s">
        <v>1125</v>
      </c>
      <c r="C1924" s="3" t="s">
        <v>58</v>
      </c>
      <c r="D1924" s="3" t="s">
        <v>575</v>
      </c>
      <c r="E1924" s="3" t="s">
        <v>336</v>
      </c>
      <c r="F1924" s="6">
        <v>1</v>
      </c>
      <c r="G1924" s="6" t="s">
        <v>281</v>
      </c>
      <c r="H1924" s="5">
        <f t="shared" si="0"/>
        <v>5219429</v>
      </c>
      <c r="I1924" s="22" t="s">
        <v>681</v>
      </c>
      <c r="J1924" s="5" t="s">
        <v>102</v>
      </c>
    </row>
    <row r="1925" spans="1:10" ht="45">
      <c r="A1925" s="27" t="s">
        <v>1984</v>
      </c>
      <c r="B1925" s="22" t="s">
        <v>1125</v>
      </c>
      <c r="C1925" s="3" t="s">
        <v>58</v>
      </c>
      <c r="D1925" s="3" t="s">
        <v>575</v>
      </c>
      <c r="E1925" s="3" t="s">
        <v>336</v>
      </c>
      <c r="F1925" s="6">
        <v>1</v>
      </c>
      <c r="G1925" s="6" t="s">
        <v>350</v>
      </c>
      <c r="H1925" s="5">
        <f>6265856-1046427+978</f>
        <v>5220407</v>
      </c>
      <c r="I1925" s="22" t="s">
        <v>681</v>
      </c>
      <c r="J1925" s="5" t="s">
        <v>102</v>
      </c>
    </row>
    <row r="1926" spans="1:10" ht="60">
      <c r="A1926" s="27" t="s">
        <v>1985</v>
      </c>
      <c r="B1926" s="22" t="s">
        <v>1127</v>
      </c>
      <c r="C1926" s="22" t="s">
        <v>578</v>
      </c>
      <c r="D1926" s="22" t="s">
        <v>1126</v>
      </c>
      <c r="E1926" s="22" t="s">
        <v>578</v>
      </c>
      <c r="F1926" s="22" t="s">
        <v>578</v>
      </c>
      <c r="G1926" s="6" t="s">
        <v>125</v>
      </c>
      <c r="H1926" s="15">
        <f>SUM(H1927:H1930)</f>
        <v>4259390</v>
      </c>
      <c r="I1926" s="22" t="s">
        <v>578</v>
      </c>
      <c r="J1926" s="22" t="s">
        <v>578</v>
      </c>
    </row>
    <row r="1927" spans="1:10" ht="60">
      <c r="A1927" s="27" t="s">
        <v>1986</v>
      </c>
      <c r="B1927" s="22" t="s">
        <v>1127</v>
      </c>
      <c r="C1927" s="22" t="s">
        <v>59</v>
      </c>
      <c r="D1927" s="22" t="s">
        <v>1126</v>
      </c>
      <c r="E1927" s="22" t="s">
        <v>586</v>
      </c>
      <c r="F1927" s="6">
        <v>1</v>
      </c>
      <c r="G1927" s="6" t="s">
        <v>279</v>
      </c>
      <c r="H1927" s="5">
        <v>2750000</v>
      </c>
      <c r="I1927" s="22" t="s">
        <v>678</v>
      </c>
      <c r="J1927" s="5" t="s">
        <v>102</v>
      </c>
    </row>
    <row r="1928" spans="1:10" ht="60">
      <c r="A1928" s="27" t="s">
        <v>1987</v>
      </c>
      <c r="B1928" s="22" t="s">
        <v>1127</v>
      </c>
      <c r="C1928" s="22" t="s">
        <v>59</v>
      </c>
      <c r="D1928" s="22" t="s">
        <v>1126</v>
      </c>
      <c r="E1928" s="22" t="s">
        <v>586</v>
      </c>
      <c r="F1928" s="6">
        <v>1</v>
      </c>
      <c r="G1928" s="6" t="s">
        <v>276</v>
      </c>
      <c r="H1928" s="5">
        <v>206000</v>
      </c>
      <c r="I1928" s="22" t="s">
        <v>678</v>
      </c>
      <c r="J1928" s="5" t="s">
        <v>102</v>
      </c>
    </row>
    <row r="1929" spans="1:10" ht="60">
      <c r="A1929" s="27" t="s">
        <v>1988</v>
      </c>
      <c r="B1929" s="22" t="s">
        <v>1127</v>
      </c>
      <c r="C1929" s="22" t="s">
        <v>59</v>
      </c>
      <c r="D1929" s="22" t="s">
        <v>1126</v>
      </c>
      <c r="E1929" s="22" t="s">
        <v>586</v>
      </c>
      <c r="F1929" s="6">
        <v>1</v>
      </c>
      <c r="G1929" s="6" t="s">
        <v>270</v>
      </c>
      <c r="H1929" s="5">
        <v>60000</v>
      </c>
      <c r="I1929" s="22" t="s">
        <v>678</v>
      </c>
      <c r="J1929" s="5" t="s">
        <v>102</v>
      </c>
    </row>
    <row r="1930" spans="1:10" ht="60">
      <c r="A1930" s="27" t="s">
        <v>1989</v>
      </c>
      <c r="B1930" s="22" t="s">
        <v>1127</v>
      </c>
      <c r="C1930" s="22" t="s">
        <v>59</v>
      </c>
      <c r="D1930" s="22" t="s">
        <v>1126</v>
      </c>
      <c r="E1930" s="22" t="s">
        <v>586</v>
      </c>
      <c r="F1930" s="6">
        <v>1</v>
      </c>
      <c r="G1930" s="6" t="s">
        <v>350</v>
      </c>
      <c r="H1930" s="5">
        <v>1243390</v>
      </c>
      <c r="I1930" s="22" t="s">
        <v>678</v>
      </c>
      <c r="J1930" s="5" t="s">
        <v>102</v>
      </c>
    </row>
    <row r="1931" spans="1:10" ht="30">
      <c r="A1931" s="27" t="s">
        <v>1990</v>
      </c>
      <c r="B1931" s="12" t="s">
        <v>368</v>
      </c>
      <c r="C1931" s="4" t="s">
        <v>578</v>
      </c>
      <c r="D1931" s="3" t="s">
        <v>368</v>
      </c>
      <c r="E1931" s="3" t="s">
        <v>578</v>
      </c>
      <c r="F1931" s="6" t="s">
        <v>578</v>
      </c>
      <c r="G1931" s="6" t="s">
        <v>578</v>
      </c>
      <c r="H1931" s="15">
        <f>SUM(H1932:H1934)</f>
        <v>336458.03</v>
      </c>
      <c r="I1931" s="3" t="s">
        <v>578</v>
      </c>
      <c r="J1931" s="5" t="s">
        <v>102</v>
      </c>
    </row>
    <row r="1932" spans="1:10" ht="30">
      <c r="A1932" s="27" t="s">
        <v>1991</v>
      </c>
      <c r="B1932" s="22" t="s">
        <v>3124</v>
      </c>
      <c r="C1932" s="3" t="s">
        <v>59</v>
      </c>
      <c r="D1932" s="3" t="s">
        <v>3124</v>
      </c>
      <c r="E1932" s="3" t="s">
        <v>336</v>
      </c>
      <c r="F1932" s="6">
        <v>1</v>
      </c>
      <c r="G1932" s="16" t="s">
        <v>272</v>
      </c>
      <c r="H1932" s="5">
        <v>0</v>
      </c>
      <c r="I1932" s="22" t="s">
        <v>678</v>
      </c>
      <c r="J1932" s="5" t="s">
        <v>102</v>
      </c>
    </row>
    <row r="1933" spans="1:10" ht="45">
      <c r="A1933" s="27" t="s">
        <v>1992</v>
      </c>
      <c r="B1933" s="22" t="s">
        <v>3124</v>
      </c>
      <c r="C1933" s="3" t="s">
        <v>59</v>
      </c>
      <c r="D1933" s="3" t="s">
        <v>3124</v>
      </c>
      <c r="E1933" s="3" t="s">
        <v>336</v>
      </c>
      <c r="F1933" s="6">
        <v>1</v>
      </c>
      <c r="G1933" s="16" t="s">
        <v>278</v>
      </c>
      <c r="H1933" s="5">
        <f>359672.32-223214.29</f>
        <v>136458.03</v>
      </c>
      <c r="I1933" s="22" t="s">
        <v>679</v>
      </c>
      <c r="J1933" s="5" t="s">
        <v>102</v>
      </c>
    </row>
    <row r="1934" spans="1:10" ht="30">
      <c r="A1934" s="27" t="s">
        <v>1993</v>
      </c>
      <c r="B1934" s="22" t="s">
        <v>3124</v>
      </c>
      <c r="C1934" s="3" t="s">
        <v>59</v>
      </c>
      <c r="D1934" s="22" t="s">
        <v>368</v>
      </c>
      <c r="E1934" s="3" t="s">
        <v>336</v>
      </c>
      <c r="F1934" s="6">
        <v>1</v>
      </c>
      <c r="G1934" s="6" t="s">
        <v>281</v>
      </c>
      <c r="H1934" s="5">
        <v>200000</v>
      </c>
      <c r="I1934" s="22" t="s">
        <v>678</v>
      </c>
      <c r="J1934" s="5" t="s">
        <v>102</v>
      </c>
    </row>
    <row r="1935" spans="1:10" ht="30">
      <c r="A1935" s="27" t="s">
        <v>1994</v>
      </c>
      <c r="B1935" s="12" t="s">
        <v>1128</v>
      </c>
      <c r="C1935" s="3" t="s">
        <v>59</v>
      </c>
      <c r="D1935" s="22" t="s">
        <v>1128</v>
      </c>
      <c r="E1935" s="3" t="s">
        <v>336</v>
      </c>
      <c r="F1935" s="6">
        <v>1</v>
      </c>
      <c r="G1935" s="6" t="s">
        <v>273</v>
      </c>
      <c r="H1935" s="15">
        <v>120000</v>
      </c>
      <c r="I1935" s="22" t="s">
        <v>681</v>
      </c>
      <c r="J1935" s="5" t="s">
        <v>102</v>
      </c>
    </row>
    <row r="1936" spans="1:10" ht="57">
      <c r="A1936" s="27" t="s">
        <v>1995</v>
      </c>
      <c r="B1936" s="12" t="s">
        <v>1129</v>
      </c>
      <c r="C1936" s="3" t="s">
        <v>59</v>
      </c>
      <c r="D1936" s="3" t="s">
        <v>1129</v>
      </c>
      <c r="E1936" s="3" t="s">
        <v>336</v>
      </c>
      <c r="F1936" s="6">
        <v>1</v>
      </c>
      <c r="G1936" s="6" t="s">
        <v>350</v>
      </c>
      <c r="H1936" s="15">
        <v>45000</v>
      </c>
      <c r="I1936" s="22" t="s">
        <v>681</v>
      </c>
      <c r="J1936" s="5" t="s">
        <v>102</v>
      </c>
    </row>
    <row r="1937" spans="1:10" ht="60">
      <c r="A1937" s="27" t="s">
        <v>1996</v>
      </c>
      <c r="B1937" s="12" t="s">
        <v>1130</v>
      </c>
      <c r="C1937" s="3" t="s">
        <v>59</v>
      </c>
      <c r="D1937" s="3" t="s">
        <v>1130</v>
      </c>
      <c r="E1937" s="3" t="s">
        <v>336</v>
      </c>
      <c r="F1937" s="6">
        <v>1</v>
      </c>
      <c r="G1937" s="6" t="s">
        <v>350</v>
      </c>
      <c r="H1937" s="15">
        <v>973280</v>
      </c>
      <c r="I1937" s="22" t="s">
        <v>678</v>
      </c>
      <c r="J1937" s="5" t="s">
        <v>102</v>
      </c>
    </row>
    <row r="1938" spans="1:10" ht="57">
      <c r="A1938" s="27" t="s">
        <v>1997</v>
      </c>
      <c r="B1938" s="12" t="s">
        <v>1132</v>
      </c>
      <c r="C1938" s="3" t="s">
        <v>58</v>
      </c>
      <c r="D1938" s="22" t="s">
        <v>1132</v>
      </c>
      <c r="E1938" s="3" t="s">
        <v>336</v>
      </c>
      <c r="F1938" s="6">
        <v>1</v>
      </c>
      <c r="G1938" s="6" t="s">
        <v>101</v>
      </c>
      <c r="H1938" s="15">
        <v>1836800.04</v>
      </c>
      <c r="I1938" s="22" t="s">
        <v>681</v>
      </c>
      <c r="J1938" s="5" t="s">
        <v>102</v>
      </c>
    </row>
    <row r="1939" spans="1:10" ht="30">
      <c r="A1939" s="27" t="s">
        <v>1998</v>
      </c>
      <c r="B1939" s="12" t="s">
        <v>1947</v>
      </c>
      <c r="C1939" s="3" t="s">
        <v>60</v>
      </c>
      <c r="D1939" s="22" t="s">
        <v>1947</v>
      </c>
      <c r="E1939" s="3" t="s">
        <v>336</v>
      </c>
      <c r="F1939" s="6">
        <v>1</v>
      </c>
      <c r="G1939" s="6" t="s">
        <v>101</v>
      </c>
      <c r="H1939" s="15">
        <v>1117600</v>
      </c>
      <c r="I1939" s="22" t="s">
        <v>681</v>
      </c>
      <c r="J1939" s="5" t="s">
        <v>102</v>
      </c>
    </row>
    <row r="1940" spans="1:10" ht="45">
      <c r="A1940" s="27" t="s">
        <v>1999</v>
      </c>
      <c r="B1940" s="12" t="s">
        <v>1131</v>
      </c>
      <c r="C1940" s="3" t="s">
        <v>59</v>
      </c>
      <c r="D1940" s="22" t="s">
        <v>1131</v>
      </c>
      <c r="E1940" s="3" t="s">
        <v>336</v>
      </c>
      <c r="F1940" s="6">
        <v>1</v>
      </c>
      <c r="G1940" s="6" t="s">
        <v>101</v>
      </c>
      <c r="H1940" s="15">
        <v>9986720</v>
      </c>
      <c r="I1940" s="22" t="s">
        <v>678</v>
      </c>
      <c r="J1940" s="5" t="s">
        <v>102</v>
      </c>
    </row>
    <row r="1941" spans="1:10" ht="30">
      <c r="A1941" s="27" t="s">
        <v>2000</v>
      </c>
      <c r="B1941" s="12" t="s">
        <v>1133</v>
      </c>
      <c r="C1941" s="3" t="s">
        <v>59</v>
      </c>
      <c r="D1941" s="3" t="s">
        <v>1133</v>
      </c>
      <c r="E1941" s="3" t="s">
        <v>336</v>
      </c>
      <c r="F1941" s="6">
        <v>1</v>
      </c>
      <c r="G1941" s="6" t="s">
        <v>101</v>
      </c>
      <c r="H1941" s="15">
        <v>420000</v>
      </c>
      <c r="I1941" s="22" t="s">
        <v>681</v>
      </c>
      <c r="J1941" s="5" t="s">
        <v>102</v>
      </c>
    </row>
    <row r="1942" spans="1:10" ht="60">
      <c r="A1942" s="27" t="s">
        <v>2001</v>
      </c>
      <c r="B1942" s="12" t="s">
        <v>1134</v>
      </c>
      <c r="C1942" s="3" t="s">
        <v>59</v>
      </c>
      <c r="D1942" s="3" t="s">
        <v>1134</v>
      </c>
      <c r="E1942" s="3" t="s">
        <v>336</v>
      </c>
      <c r="F1942" s="6">
        <v>1</v>
      </c>
      <c r="G1942" s="6" t="s">
        <v>101</v>
      </c>
      <c r="H1942" s="15">
        <f>14018200-795849.11-4801651.79-230000</f>
        <v>8190699.1000000015</v>
      </c>
      <c r="I1942" s="22" t="s">
        <v>678</v>
      </c>
      <c r="J1942" s="5" t="s">
        <v>102</v>
      </c>
    </row>
    <row r="1943" spans="1:10" ht="30">
      <c r="A1943" s="27" t="s">
        <v>2002</v>
      </c>
      <c r="B1943" s="12" t="s">
        <v>1135</v>
      </c>
      <c r="C1943" s="3" t="s">
        <v>59</v>
      </c>
      <c r="D1943" s="3" t="s">
        <v>1135</v>
      </c>
      <c r="E1943" s="3" t="s">
        <v>336</v>
      </c>
      <c r="F1943" s="6">
        <v>1</v>
      </c>
      <c r="G1943" s="6" t="s">
        <v>101</v>
      </c>
      <c r="H1943" s="15">
        <v>4537315</v>
      </c>
      <c r="I1943" s="22" t="s">
        <v>678</v>
      </c>
      <c r="J1943" s="5" t="s">
        <v>102</v>
      </c>
    </row>
    <row r="1944" spans="1:10" ht="60">
      <c r="A1944" s="27" t="s">
        <v>2003</v>
      </c>
      <c r="B1944" s="12" t="s">
        <v>1137</v>
      </c>
      <c r="C1944" s="3" t="s">
        <v>58</v>
      </c>
      <c r="D1944" s="3" t="s">
        <v>1136</v>
      </c>
      <c r="E1944" s="3" t="s">
        <v>336</v>
      </c>
      <c r="F1944" s="6">
        <v>1</v>
      </c>
      <c r="G1944" s="6" t="s">
        <v>101</v>
      </c>
      <c r="H1944" s="15">
        <v>5607303</v>
      </c>
      <c r="I1944" s="22" t="s">
        <v>678</v>
      </c>
      <c r="J1944" s="5" t="s">
        <v>102</v>
      </c>
    </row>
    <row r="1945" spans="1:10" ht="90">
      <c r="A1945" s="27" t="s">
        <v>2004</v>
      </c>
      <c r="B1945" s="12" t="s">
        <v>1141</v>
      </c>
      <c r="C1945" s="3" t="s">
        <v>60</v>
      </c>
      <c r="D1945" s="3" t="s">
        <v>1138</v>
      </c>
      <c r="E1945" s="3" t="s">
        <v>336</v>
      </c>
      <c r="F1945" s="6">
        <v>1</v>
      </c>
      <c r="G1945" s="6" t="s">
        <v>101</v>
      </c>
      <c r="H1945" s="15">
        <v>3723214</v>
      </c>
      <c r="I1945" s="22" t="s">
        <v>678</v>
      </c>
      <c r="J1945" s="5" t="s">
        <v>102</v>
      </c>
    </row>
    <row r="1946" spans="1:10" ht="60">
      <c r="A1946" s="27" t="s">
        <v>2005</v>
      </c>
      <c r="B1946" s="12" t="s">
        <v>1142</v>
      </c>
      <c r="C1946" s="3" t="s">
        <v>59</v>
      </c>
      <c r="D1946" s="3" t="s">
        <v>1139</v>
      </c>
      <c r="E1946" s="3" t="s">
        <v>336</v>
      </c>
      <c r="F1946" s="6">
        <v>1</v>
      </c>
      <c r="G1946" s="3" t="s">
        <v>101</v>
      </c>
      <c r="H1946" s="15">
        <v>4017855</v>
      </c>
      <c r="I1946" s="22" t="s">
        <v>678</v>
      </c>
      <c r="J1946" s="5" t="s">
        <v>102</v>
      </c>
    </row>
    <row r="1947" spans="1:10" ht="75">
      <c r="A1947" s="27" t="s">
        <v>2006</v>
      </c>
      <c r="B1947" s="12" t="s">
        <v>1143</v>
      </c>
      <c r="C1947" s="3" t="s">
        <v>58</v>
      </c>
      <c r="D1947" s="3" t="s">
        <v>1140</v>
      </c>
      <c r="E1947" s="3" t="s">
        <v>336</v>
      </c>
      <c r="F1947" s="6">
        <v>1</v>
      </c>
      <c r="G1947" s="3" t="s">
        <v>101</v>
      </c>
      <c r="H1947" s="15">
        <f>4687500-241071.43</f>
        <v>4446428.57</v>
      </c>
      <c r="I1947" s="22" t="s">
        <v>678</v>
      </c>
      <c r="J1947" s="5" t="s">
        <v>102</v>
      </c>
    </row>
    <row r="1948" spans="1:10" ht="60">
      <c r="A1948" s="27" t="s">
        <v>2007</v>
      </c>
      <c r="B1948" s="12" t="s">
        <v>1145</v>
      </c>
      <c r="C1948" s="3" t="s">
        <v>58</v>
      </c>
      <c r="D1948" s="3" t="s">
        <v>1144</v>
      </c>
      <c r="E1948" s="3" t="s">
        <v>336</v>
      </c>
      <c r="F1948" s="6">
        <v>1</v>
      </c>
      <c r="G1948" s="3" t="s">
        <v>101</v>
      </c>
      <c r="H1948" s="15">
        <f>17858118.22-81964.29</f>
        <v>17776153.93</v>
      </c>
      <c r="I1948" s="22" t="s">
        <v>678</v>
      </c>
      <c r="J1948" s="5" t="s">
        <v>102</v>
      </c>
    </row>
    <row r="1949" spans="1:10" ht="42.75">
      <c r="A1949" s="27" t="s">
        <v>2008</v>
      </c>
      <c r="B1949" s="12" t="s">
        <v>1146</v>
      </c>
      <c r="C1949" s="3" t="s">
        <v>58</v>
      </c>
      <c r="D1949" s="3" t="s">
        <v>1146</v>
      </c>
      <c r="E1949" s="3" t="s">
        <v>336</v>
      </c>
      <c r="F1949" s="6">
        <v>1</v>
      </c>
      <c r="G1949" s="3" t="s">
        <v>101</v>
      </c>
      <c r="H1949" s="15">
        <v>500000</v>
      </c>
      <c r="I1949" s="22" t="s">
        <v>678</v>
      </c>
      <c r="J1949" s="5" t="s">
        <v>102</v>
      </c>
    </row>
    <row r="1950" spans="1:10" ht="30">
      <c r="A1950" s="27" t="s">
        <v>2009</v>
      </c>
      <c r="B1950" s="12" t="s">
        <v>1150</v>
      </c>
      <c r="C1950" s="3" t="s">
        <v>58</v>
      </c>
      <c r="D1950" s="3" t="s">
        <v>1147</v>
      </c>
      <c r="E1950" s="3" t="s">
        <v>336</v>
      </c>
      <c r="F1950" s="6">
        <v>1</v>
      </c>
      <c r="G1950" s="3" t="s">
        <v>101</v>
      </c>
      <c r="H1950" s="15">
        <v>16384900</v>
      </c>
      <c r="I1950" s="22" t="s">
        <v>681</v>
      </c>
      <c r="J1950" s="5" t="s">
        <v>102</v>
      </c>
    </row>
    <row r="1951" spans="1:10" ht="30">
      <c r="A1951" s="27" t="s">
        <v>2010</v>
      </c>
      <c r="B1951" s="12" t="s">
        <v>1150</v>
      </c>
      <c r="C1951" s="3" t="s">
        <v>58</v>
      </c>
      <c r="D1951" s="3" t="s">
        <v>1148</v>
      </c>
      <c r="E1951" s="3" t="s">
        <v>336</v>
      </c>
      <c r="F1951" s="6">
        <v>1</v>
      </c>
      <c r="G1951" s="3" t="s">
        <v>101</v>
      </c>
      <c r="H1951" s="15">
        <v>26544890</v>
      </c>
      <c r="I1951" s="22" t="s">
        <v>681</v>
      </c>
      <c r="J1951" s="5" t="s">
        <v>102</v>
      </c>
    </row>
    <row r="1952" spans="1:10" ht="42.75">
      <c r="A1952" s="27" t="s">
        <v>2011</v>
      </c>
      <c r="B1952" s="12" t="s">
        <v>1149</v>
      </c>
      <c r="C1952" s="3" t="s">
        <v>58</v>
      </c>
      <c r="D1952" s="3" t="s">
        <v>1149</v>
      </c>
      <c r="E1952" s="3" t="s">
        <v>336</v>
      </c>
      <c r="F1952" s="6">
        <v>1</v>
      </c>
      <c r="G1952" s="3" t="s">
        <v>101</v>
      </c>
      <c r="H1952" s="15">
        <v>600000</v>
      </c>
      <c r="I1952" s="22" t="s">
        <v>681</v>
      </c>
      <c r="J1952" s="5" t="s">
        <v>102</v>
      </c>
    </row>
    <row r="1953" spans="1:10" ht="71.25">
      <c r="A1953" s="27" t="s">
        <v>2012</v>
      </c>
      <c r="B1953" s="12" t="s">
        <v>1151</v>
      </c>
      <c r="C1953" s="3" t="s">
        <v>58</v>
      </c>
      <c r="D1953" s="3" t="s">
        <v>1151</v>
      </c>
      <c r="E1953" s="3" t="s">
        <v>336</v>
      </c>
      <c r="F1953" s="6">
        <v>1</v>
      </c>
      <c r="G1953" s="3" t="s">
        <v>101</v>
      </c>
      <c r="H1953" s="15">
        <f>553221541.96</f>
        <v>553221541.96000004</v>
      </c>
      <c r="I1953" s="22" t="s">
        <v>681</v>
      </c>
      <c r="J1953" s="5" t="s">
        <v>102</v>
      </c>
    </row>
    <row r="1954" spans="1:10" ht="45">
      <c r="A1954" s="27" t="s">
        <v>2013</v>
      </c>
      <c r="B1954" s="12" t="s">
        <v>1152</v>
      </c>
      <c r="C1954" s="3" t="s">
        <v>58</v>
      </c>
      <c r="D1954" s="3" t="s">
        <v>1152</v>
      </c>
      <c r="E1954" s="3" t="s">
        <v>336</v>
      </c>
      <c r="F1954" s="6">
        <v>1</v>
      </c>
      <c r="G1954" s="3" t="s">
        <v>101</v>
      </c>
      <c r="H1954" s="15">
        <f>1574379+882871</f>
        <v>2457250</v>
      </c>
      <c r="I1954" s="22" t="s">
        <v>681</v>
      </c>
      <c r="J1954" s="5" t="s">
        <v>102</v>
      </c>
    </row>
    <row r="1955" spans="1:10" ht="45">
      <c r="A1955" s="27" t="s">
        <v>2014</v>
      </c>
      <c r="B1955" s="12" t="s">
        <v>1153</v>
      </c>
      <c r="C1955" s="3" t="s">
        <v>58</v>
      </c>
      <c r="D1955" s="3" t="s">
        <v>1153</v>
      </c>
      <c r="E1955" s="3" t="s">
        <v>336</v>
      </c>
      <c r="F1955" s="6">
        <v>1</v>
      </c>
      <c r="G1955" s="3" t="s">
        <v>101</v>
      </c>
      <c r="H1955" s="15">
        <v>1977732</v>
      </c>
      <c r="I1955" s="22" t="s">
        <v>681</v>
      </c>
      <c r="J1955" s="5" t="s">
        <v>102</v>
      </c>
    </row>
    <row r="1956" spans="1:10" ht="45">
      <c r="A1956" s="27" t="s">
        <v>2015</v>
      </c>
      <c r="B1956" s="12" t="s">
        <v>1154</v>
      </c>
      <c r="C1956" s="3" t="s">
        <v>58</v>
      </c>
      <c r="D1956" s="3" t="s">
        <v>1154</v>
      </c>
      <c r="E1956" s="3" t="s">
        <v>336</v>
      </c>
      <c r="F1956" s="6">
        <v>1</v>
      </c>
      <c r="G1956" s="3" t="s">
        <v>101</v>
      </c>
      <c r="H1956" s="15">
        <f>8339030+393942+16849</f>
        <v>8749821</v>
      </c>
      <c r="I1956" s="22" t="s">
        <v>681</v>
      </c>
      <c r="J1956" s="5" t="s">
        <v>102</v>
      </c>
    </row>
    <row r="1957" spans="1:10" ht="71.25">
      <c r="A1957" s="27" t="s">
        <v>2016</v>
      </c>
      <c r="B1957" s="12" t="s">
        <v>1155</v>
      </c>
      <c r="C1957" s="3" t="s">
        <v>58</v>
      </c>
      <c r="D1957" s="3" t="s">
        <v>1155</v>
      </c>
      <c r="E1957" s="3" t="s">
        <v>336</v>
      </c>
      <c r="F1957" s="6">
        <v>1</v>
      </c>
      <c r="G1957" s="3" t="s">
        <v>101</v>
      </c>
      <c r="H1957" s="15">
        <f>3778719+1533201</f>
        <v>5311920</v>
      </c>
      <c r="I1957" s="22" t="s">
        <v>681</v>
      </c>
      <c r="J1957" s="5" t="s">
        <v>102</v>
      </c>
    </row>
    <row r="1958" spans="1:10" ht="30">
      <c r="A1958" s="27" t="s">
        <v>2017</v>
      </c>
      <c r="B1958" s="12" t="s">
        <v>1157</v>
      </c>
      <c r="C1958" s="3" t="s">
        <v>59</v>
      </c>
      <c r="D1958" s="3" t="s">
        <v>1156</v>
      </c>
      <c r="E1958" s="3" t="s">
        <v>336</v>
      </c>
      <c r="F1958" s="6">
        <v>1</v>
      </c>
      <c r="G1958" s="3" t="s">
        <v>101</v>
      </c>
      <c r="H1958" s="15">
        <f>841994-16849-3702</f>
        <v>821443</v>
      </c>
      <c r="I1958" s="22" t="s">
        <v>681</v>
      </c>
      <c r="J1958" s="5" t="s">
        <v>102</v>
      </c>
    </row>
    <row r="1959" spans="1:10" ht="45">
      <c r="A1959" s="27" t="s">
        <v>2018</v>
      </c>
      <c r="B1959" s="12" t="s">
        <v>1159</v>
      </c>
      <c r="C1959" s="3" t="s">
        <v>59</v>
      </c>
      <c r="D1959" s="3" t="s">
        <v>1158</v>
      </c>
      <c r="E1959" s="3" t="s">
        <v>336</v>
      </c>
      <c r="F1959" s="6">
        <v>1</v>
      </c>
      <c r="G1959" s="3" t="s">
        <v>101</v>
      </c>
      <c r="H1959" s="15">
        <f>174950+73979</f>
        <v>248929</v>
      </c>
      <c r="I1959" s="22" t="s">
        <v>681</v>
      </c>
      <c r="J1959" s="5" t="s">
        <v>102</v>
      </c>
    </row>
    <row r="1960" spans="1:10" ht="60">
      <c r="A1960" s="27" t="s">
        <v>2019</v>
      </c>
      <c r="B1960" s="12" t="s">
        <v>1160</v>
      </c>
      <c r="C1960" s="3" t="s">
        <v>58</v>
      </c>
      <c r="D1960" s="3" t="s">
        <v>1160</v>
      </c>
      <c r="E1960" s="3" t="s">
        <v>336</v>
      </c>
      <c r="F1960" s="6">
        <v>1</v>
      </c>
      <c r="G1960" s="3" t="s">
        <v>101</v>
      </c>
      <c r="H1960" s="15">
        <v>2580000</v>
      </c>
      <c r="I1960" s="22" t="s">
        <v>681</v>
      </c>
      <c r="J1960" s="5" t="s">
        <v>102</v>
      </c>
    </row>
    <row r="1961" spans="1:10" ht="45">
      <c r="A1961" s="27" t="s">
        <v>2020</v>
      </c>
      <c r="B1961" s="12" t="s">
        <v>1161</v>
      </c>
      <c r="C1961" s="3" t="s">
        <v>58</v>
      </c>
      <c r="D1961" s="3" t="s">
        <v>1161</v>
      </c>
      <c r="E1961" s="3" t="s">
        <v>336</v>
      </c>
      <c r="F1961" s="6">
        <v>1</v>
      </c>
      <c r="G1961" s="3" t="s">
        <v>101</v>
      </c>
      <c r="H1961" s="15">
        <v>3360000</v>
      </c>
      <c r="I1961" s="22" t="s">
        <v>681</v>
      </c>
      <c r="J1961" s="5" t="s">
        <v>102</v>
      </c>
    </row>
    <row r="1962" spans="1:10" ht="30">
      <c r="A1962" s="27" t="s">
        <v>2021</v>
      </c>
      <c r="B1962" s="12" t="s">
        <v>1162</v>
      </c>
      <c r="C1962" s="3" t="s">
        <v>58</v>
      </c>
      <c r="D1962" s="3" t="s">
        <v>1162</v>
      </c>
      <c r="E1962" s="3" t="s">
        <v>336</v>
      </c>
      <c r="F1962" s="6">
        <v>1</v>
      </c>
      <c r="G1962" s="3" t="s">
        <v>101</v>
      </c>
      <c r="H1962" s="15">
        <v>260000</v>
      </c>
      <c r="I1962" s="22" t="s">
        <v>681</v>
      </c>
      <c r="J1962" s="5" t="s">
        <v>102</v>
      </c>
    </row>
    <row r="1963" spans="1:10" ht="71.25">
      <c r="A1963" s="27" t="s">
        <v>2022</v>
      </c>
      <c r="B1963" s="12" t="s">
        <v>1163</v>
      </c>
      <c r="C1963" s="3" t="s">
        <v>58</v>
      </c>
      <c r="D1963" s="3" t="s">
        <v>1163</v>
      </c>
      <c r="E1963" s="3" t="s">
        <v>336</v>
      </c>
      <c r="F1963" s="6">
        <v>1</v>
      </c>
      <c r="G1963" s="3" t="s">
        <v>101</v>
      </c>
      <c r="H1963" s="15">
        <f>271179+62619+3702</f>
        <v>337500</v>
      </c>
      <c r="I1963" s="22" t="s">
        <v>681</v>
      </c>
      <c r="J1963" s="5" t="s">
        <v>102</v>
      </c>
    </row>
    <row r="1964" spans="1:10" ht="30">
      <c r="A1964" s="27" t="s">
        <v>2023</v>
      </c>
      <c r="B1964" s="12" t="s">
        <v>1164</v>
      </c>
      <c r="C1964" s="3" t="s">
        <v>58</v>
      </c>
      <c r="D1964" s="3" t="s">
        <v>1164</v>
      </c>
      <c r="E1964" s="3" t="s">
        <v>336</v>
      </c>
      <c r="F1964" s="6">
        <v>1</v>
      </c>
      <c r="G1964" s="3" t="s">
        <v>101</v>
      </c>
      <c r="H1964" s="15">
        <f>3148932+1289827</f>
        <v>4438759</v>
      </c>
      <c r="I1964" s="22" t="s">
        <v>681</v>
      </c>
      <c r="J1964" s="5" t="s">
        <v>102</v>
      </c>
    </row>
    <row r="1965" spans="1:10" ht="45">
      <c r="A1965" s="27" t="s">
        <v>2024</v>
      </c>
      <c r="B1965" s="12" t="s">
        <v>1165</v>
      </c>
      <c r="C1965" s="3" t="s">
        <v>58</v>
      </c>
      <c r="D1965" s="3" t="s">
        <v>1165</v>
      </c>
      <c r="E1965" s="3" t="s">
        <v>336</v>
      </c>
      <c r="F1965" s="6">
        <v>1</v>
      </c>
      <c r="G1965" s="3" t="s">
        <v>101</v>
      </c>
      <c r="H1965" s="15">
        <f>3652964-73979-62619-607348</f>
        <v>2909018</v>
      </c>
      <c r="I1965" s="22" t="s">
        <v>681</v>
      </c>
      <c r="J1965" s="5" t="s">
        <v>102</v>
      </c>
    </row>
    <row r="1966" spans="1:10" ht="57">
      <c r="A1966" s="27" t="s">
        <v>2025</v>
      </c>
      <c r="B1966" s="12" t="s">
        <v>1166</v>
      </c>
      <c r="C1966" s="3" t="s">
        <v>58</v>
      </c>
      <c r="D1966" s="3" t="s">
        <v>1166</v>
      </c>
      <c r="E1966" s="3" t="s">
        <v>336</v>
      </c>
      <c r="F1966" s="6">
        <v>1</v>
      </c>
      <c r="G1966" s="3" t="s">
        <v>101</v>
      </c>
      <c r="H1966" s="15">
        <f>1885840+1210330</f>
        <v>3096170</v>
      </c>
      <c r="I1966" s="22" t="s">
        <v>681</v>
      </c>
      <c r="J1966" s="5" t="s">
        <v>102</v>
      </c>
    </row>
    <row r="1967" spans="1:10" ht="60">
      <c r="A1967" s="27" t="s">
        <v>2026</v>
      </c>
      <c r="B1967" s="12" t="s">
        <v>1167</v>
      </c>
      <c r="C1967" s="3" t="s">
        <v>60</v>
      </c>
      <c r="D1967" s="3" t="s">
        <v>1167</v>
      </c>
      <c r="E1967" s="3" t="s">
        <v>336</v>
      </c>
      <c r="F1967" s="6">
        <v>1</v>
      </c>
      <c r="G1967" s="3" t="s">
        <v>101</v>
      </c>
      <c r="H1967" s="15">
        <f>1955804+607348</f>
        <v>2563152</v>
      </c>
      <c r="I1967" s="22" t="s">
        <v>681</v>
      </c>
      <c r="J1967" s="5" t="s">
        <v>102</v>
      </c>
    </row>
    <row r="1968" spans="1:10" ht="57">
      <c r="A1968" s="27" t="s">
        <v>2027</v>
      </c>
      <c r="B1968" s="12" t="s">
        <v>1168</v>
      </c>
      <c r="C1968" s="3" t="s">
        <v>59</v>
      </c>
      <c r="D1968" s="3" t="s">
        <v>1168</v>
      </c>
      <c r="E1968" s="3" t="s">
        <v>336</v>
      </c>
      <c r="F1968" s="6">
        <v>1</v>
      </c>
      <c r="G1968" s="3" t="s">
        <v>101</v>
      </c>
      <c r="H1968" s="15">
        <v>129538</v>
      </c>
      <c r="I1968" s="22" t="s">
        <v>681</v>
      </c>
      <c r="J1968" s="5" t="s">
        <v>102</v>
      </c>
    </row>
    <row r="1969" spans="1:10" ht="30">
      <c r="A1969" s="27" t="s">
        <v>2028</v>
      </c>
      <c r="B1969" s="50" t="s">
        <v>1170</v>
      </c>
      <c r="C1969" s="3" t="s">
        <v>58</v>
      </c>
      <c r="D1969" s="3" t="s">
        <v>1169</v>
      </c>
      <c r="E1969" s="3" t="s">
        <v>336</v>
      </c>
      <c r="F1969" s="6">
        <v>1</v>
      </c>
      <c r="G1969" s="3" t="s">
        <v>101</v>
      </c>
      <c r="H1969" s="15">
        <v>223214.29</v>
      </c>
      <c r="I1969" s="22" t="s">
        <v>681</v>
      </c>
      <c r="J1969" s="5" t="s">
        <v>102</v>
      </c>
    </row>
    <row r="1970" spans="1:10" ht="30">
      <c r="A1970" s="27" t="s">
        <v>2029</v>
      </c>
      <c r="B1970" s="12" t="s">
        <v>1171</v>
      </c>
      <c r="C1970" s="3" t="s">
        <v>58</v>
      </c>
      <c r="D1970" s="3" t="s">
        <v>1171</v>
      </c>
      <c r="E1970" s="3" t="s">
        <v>336</v>
      </c>
      <c r="F1970" s="6">
        <v>1</v>
      </c>
      <c r="G1970" s="3" t="s">
        <v>101</v>
      </c>
      <c r="H1970" s="15">
        <v>313540753.56999999</v>
      </c>
      <c r="I1970" s="22" t="s">
        <v>678</v>
      </c>
      <c r="J1970" s="5" t="s">
        <v>102</v>
      </c>
    </row>
    <row r="1971" spans="1:10" ht="45">
      <c r="A1971" s="27" t="s">
        <v>2030</v>
      </c>
      <c r="B1971" s="12" t="s">
        <v>1172</v>
      </c>
      <c r="C1971" s="3" t="s">
        <v>58</v>
      </c>
      <c r="D1971" s="3" t="s">
        <v>1172</v>
      </c>
      <c r="E1971" s="3" t="s">
        <v>336</v>
      </c>
      <c r="F1971" s="6">
        <v>1</v>
      </c>
      <c r="G1971" s="3" t="s">
        <v>101</v>
      </c>
      <c r="H1971" s="15">
        <v>11232432.140000001</v>
      </c>
      <c r="I1971" s="22" t="s">
        <v>681</v>
      </c>
      <c r="J1971" s="5" t="s">
        <v>102</v>
      </c>
    </row>
    <row r="1972" spans="1:10" ht="45">
      <c r="A1972" s="27" t="s">
        <v>2031</v>
      </c>
      <c r="B1972" s="12" t="s">
        <v>1174</v>
      </c>
      <c r="C1972" s="3" t="s">
        <v>58</v>
      </c>
      <c r="D1972" s="3" t="s">
        <v>1173</v>
      </c>
      <c r="E1972" s="3" t="s">
        <v>336</v>
      </c>
      <c r="F1972" s="6">
        <v>1</v>
      </c>
      <c r="G1972" s="3" t="s">
        <v>101</v>
      </c>
      <c r="H1972" s="15">
        <v>15829687.5</v>
      </c>
      <c r="I1972" s="22" t="s">
        <v>681</v>
      </c>
      <c r="J1972" s="5" t="s">
        <v>102</v>
      </c>
    </row>
    <row r="1973" spans="1:10" ht="30">
      <c r="A1973" s="27" t="s">
        <v>2032</v>
      </c>
      <c r="B1973" s="12" t="s">
        <v>1175</v>
      </c>
      <c r="C1973" s="3" t="s">
        <v>59</v>
      </c>
      <c r="D1973" s="3" t="s">
        <v>1175</v>
      </c>
      <c r="E1973" s="3" t="s">
        <v>336</v>
      </c>
      <c r="F1973" s="6">
        <v>1</v>
      </c>
      <c r="G1973" s="3" t="s">
        <v>101</v>
      </c>
      <c r="H1973" s="15">
        <f>8000000-6000000-1467000</f>
        <v>533000</v>
      </c>
      <c r="I1973" s="22" t="s">
        <v>681</v>
      </c>
      <c r="J1973" s="5" t="s">
        <v>102</v>
      </c>
    </row>
    <row r="1974" spans="1:10" ht="42.75">
      <c r="A1974" s="27" t="s">
        <v>2033</v>
      </c>
      <c r="B1974" s="12" t="s">
        <v>1176</v>
      </c>
      <c r="C1974" s="3" t="s">
        <v>58</v>
      </c>
      <c r="D1974" s="3" t="s">
        <v>1176</v>
      </c>
      <c r="E1974" s="3" t="s">
        <v>336</v>
      </c>
      <c r="F1974" s="6">
        <v>1</v>
      </c>
      <c r="G1974" s="3" t="s">
        <v>101</v>
      </c>
      <c r="H1974" s="15">
        <f>1640730+1746870</f>
        <v>3387600</v>
      </c>
      <c r="I1974" s="22" t="s">
        <v>681</v>
      </c>
      <c r="J1974" s="5" t="s">
        <v>102</v>
      </c>
    </row>
    <row r="1975" spans="1:10" ht="42.75">
      <c r="A1975" s="27" t="s">
        <v>2034</v>
      </c>
      <c r="B1975" s="12" t="s">
        <v>1177</v>
      </c>
      <c r="C1975" s="3" t="s">
        <v>58</v>
      </c>
      <c r="D1975" s="3" t="s">
        <v>1177</v>
      </c>
      <c r="E1975" s="3" t="s">
        <v>336</v>
      </c>
      <c r="F1975" s="6">
        <v>1</v>
      </c>
      <c r="G1975" s="3" t="s">
        <v>101</v>
      </c>
      <c r="H1975" s="15">
        <f>1640730-546870</f>
        <v>1093860</v>
      </c>
      <c r="I1975" s="22" t="s">
        <v>681</v>
      </c>
      <c r="J1975" s="5" t="s">
        <v>102</v>
      </c>
    </row>
    <row r="1976" spans="1:10" ht="57">
      <c r="A1976" s="27" t="s">
        <v>2035</v>
      </c>
      <c r="B1976" s="12" t="s">
        <v>1178</v>
      </c>
      <c r="C1976" s="3" t="s">
        <v>60</v>
      </c>
      <c r="D1976" s="3" t="s">
        <v>1178</v>
      </c>
      <c r="E1976" s="3" t="s">
        <v>336</v>
      </c>
      <c r="F1976" s="6">
        <v>1</v>
      </c>
      <c r="G1976" s="3" t="s">
        <v>101</v>
      </c>
      <c r="H1976" s="15">
        <f>20000000+14649000+795849.11+5467000</f>
        <v>40911849.109999999</v>
      </c>
      <c r="I1976" s="22" t="s">
        <v>681</v>
      </c>
      <c r="J1976" s="5" t="s">
        <v>102</v>
      </c>
    </row>
    <row r="1977" spans="1:10" ht="30">
      <c r="A1977" s="27" t="s">
        <v>2036</v>
      </c>
      <c r="B1977" s="12" t="s">
        <v>1179</v>
      </c>
      <c r="C1977" s="3" t="s">
        <v>60</v>
      </c>
      <c r="D1977" s="3" t="s">
        <v>1179</v>
      </c>
      <c r="E1977" s="3" t="s">
        <v>336</v>
      </c>
      <c r="F1977" s="6">
        <v>1</v>
      </c>
      <c r="G1977" s="3" t="s">
        <v>101</v>
      </c>
      <c r="H1977" s="15">
        <f>2400000-1200000</f>
        <v>1200000</v>
      </c>
      <c r="I1977" s="22" t="s">
        <v>681</v>
      </c>
      <c r="J1977" s="5" t="s">
        <v>102</v>
      </c>
    </row>
    <row r="1978" spans="1:10" ht="45">
      <c r="A1978" s="27" t="s">
        <v>2037</v>
      </c>
      <c r="B1978" s="50" t="s">
        <v>1180</v>
      </c>
      <c r="C1978" s="3" t="s">
        <v>60</v>
      </c>
      <c r="D1978" s="3" t="s">
        <v>1180</v>
      </c>
      <c r="E1978" s="3" t="s">
        <v>336</v>
      </c>
      <c r="F1978" s="6">
        <v>1</v>
      </c>
      <c r="G1978" s="3" t="s">
        <v>101</v>
      </c>
      <c r="H1978" s="15">
        <f>1232142.86-1232142.86</f>
        <v>0</v>
      </c>
      <c r="I1978" s="22" t="s">
        <v>681</v>
      </c>
      <c r="J1978" s="5" t="s">
        <v>102</v>
      </c>
    </row>
    <row r="1979" spans="1:10" ht="75">
      <c r="A1979" s="27" t="s">
        <v>2038</v>
      </c>
      <c r="B1979" s="12" t="s">
        <v>1182</v>
      </c>
      <c r="C1979" s="3" t="s">
        <v>58</v>
      </c>
      <c r="D1979" s="3" t="s">
        <v>1181</v>
      </c>
      <c r="E1979" s="3" t="s">
        <v>336</v>
      </c>
      <c r="F1979" s="6">
        <v>1</v>
      </c>
      <c r="G1979" s="3" t="s">
        <v>101</v>
      </c>
      <c r="H1979" s="15">
        <v>12166291.42</v>
      </c>
      <c r="I1979" s="22" t="s">
        <v>681</v>
      </c>
      <c r="J1979" s="5" t="s">
        <v>102</v>
      </c>
    </row>
    <row r="1980" spans="1:10" ht="30">
      <c r="A1980" s="27" t="s">
        <v>2039</v>
      </c>
      <c r="B1980" s="12" t="s">
        <v>606</v>
      </c>
      <c r="C1980" s="3" t="s">
        <v>58</v>
      </c>
      <c r="D1980" s="3" t="s">
        <v>606</v>
      </c>
      <c r="E1980" s="3" t="s">
        <v>336</v>
      </c>
      <c r="F1980" s="6">
        <v>1</v>
      </c>
      <c r="G1980" s="3" t="s">
        <v>101</v>
      </c>
      <c r="H1980" s="15">
        <v>8700858.5999999996</v>
      </c>
      <c r="I1980" s="22" t="s">
        <v>681</v>
      </c>
      <c r="J1980" s="5" t="s">
        <v>102</v>
      </c>
    </row>
    <row r="1981" spans="1:10" ht="60">
      <c r="A1981" s="27" t="s">
        <v>2040</v>
      </c>
      <c r="B1981" s="12" t="s">
        <v>1184</v>
      </c>
      <c r="C1981" s="22" t="s">
        <v>60</v>
      </c>
      <c r="D1981" s="3" t="s">
        <v>1183</v>
      </c>
      <c r="E1981" s="3" t="s">
        <v>336</v>
      </c>
      <c r="F1981" s="6">
        <v>1</v>
      </c>
      <c r="G1981" s="3" t="s">
        <v>101</v>
      </c>
      <c r="H1981" s="15">
        <v>4500000</v>
      </c>
      <c r="I1981" s="22" t="s">
        <v>681</v>
      </c>
      <c r="J1981" s="5" t="s">
        <v>102</v>
      </c>
    </row>
    <row r="1982" spans="1:10" ht="45">
      <c r="A1982" s="27" t="s">
        <v>2041</v>
      </c>
      <c r="B1982" s="12" t="s">
        <v>1185</v>
      </c>
      <c r="C1982" s="22" t="s">
        <v>60</v>
      </c>
      <c r="D1982" s="3" t="s">
        <v>1185</v>
      </c>
      <c r="E1982" s="3" t="s">
        <v>336</v>
      </c>
      <c r="F1982" s="6">
        <v>1</v>
      </c>
      <c r="G1982" s="3" t="s">
        <v>101</v>
      </c>
      <c r="H1982" s="15">
        <f>3600000-2633006.25</f>
        <v>966993.75</v>
      </c>
      <c r="I1982" s="22" t="s">
        <v>681</v>
      </c>
      <c r="J1982" s="5" t="s">
        <v>102</v>
      </c>
    </row>
    <row r="1983" spans="1:10" ht="60">
      <c r="A1983" s="27" t="s">
        <v>2042</v>
      </c>
      <c r="B1983" s="12" t="s">
        <v>1186</v>
      </c>
      <c r="C1983" s="3" t="s">
        <v>59</v>
      </c>
      <c r="D1983" s="3" t="s">
        <v>1186</v>
      </c>
      <c r="E1983" s="3" t="s">
        <v>336</v>
      </c>
      <c r="F1983" s="6">
        <v>1</v>
      </c>
      <c r="G1983" s="3" t="s">
        <v>101</v>
      </c>
      <c r="H1983" s="15">
        <v>2008929</v>
      </c>
      <c r="I1983" s="22" t="s">
        <v>681</v>
      </c>
      <c r="J1983" s="5" t="s">
        <v>102</v>
      </c>
    </row>
    <row r="1984" spans="1:10" ht="75">
      <c r="A1984" s="27" t="s">
        <v>2043</v>
      </c>
      <c r="B1984" s="12" t="s">
        <v>1187</v>
      </c>
      <c r="C1984" s="22" t="s">
        <v>60</v>
      </c>
      <c r="D1984" s="22" t="s">
        <v>1187</v>
      </c>
      <c r="E1984" s="22" t="s">
        <v>336</v>
      </c>
      <c r="F1984" s="6">
        <v>1</v>
      </c>
      <c r="G1984" s="22" t="s">
        <v>101</v>
      </c>
      <c r="H1984" s="15">
        <v>1500000</v>
      </c>
      <c r="I1984" s="22" t="s">
        <v>681</v>
      </c>
      <c r="J1984" s="5" t="s">
        <v>102</v>
      </c>
    </row>
    <row r="1985" spans="1:10" ht="45">
      <c r="A1985" s="19" t="s">
        <v>3161</v>
      </c>
      <c r="B1985" s="22" t="s">
        <v>3162</v>
      </c>
      <c r="C1985" s="22" t="s">
        <v>59</v>
      </c>
      <c r="D1985" s="22" t="s">
        <v>3162</v>
      </c>
      <c r="E1985" s="22" t="s">
        <v>336</v>
      </c>
      <c r="F1985" s="6">
        <v>1</v>
      </c>
      <c r="G1985" s="16" t="s">
        <v>218</v>
      </c>
      <c r="H1985" s="15">
        <v>223214.29</v>
      </c>
      <c r="I1985" s="22" t="s">
        <v>679</v>
      </c>
      <c r="J1985" s="5" t="s">
        <v>102</v>
      </c>
    </row>
    <row r="1986" spans="1:10" ht="75">
      <c r="A1986" s="19" t="s">
        <v>3163</v>
      </c>
      <c r="B1986" s="22" t="s">
        <v>3164</v>
      </c>
      <c r="C1986" s="22" t="s">
        <v>59</v>
      </c>
      <c r="D1986" s="22" t="s">
        <v>3164</v>
      </c>
      <c r="E1986" s="22" t="s">
        <v>336</v>
      </c>
      <c r="F1986" s="6">
        <v>1</v>
      </c>
      <c r="G1986" s="6" t="s">
        <v>219</v>
      </c>
      <c r="H1986" s="15">
        <v>141964.29</v>
      </c>
      <c r="I1986" s="22" t="s">
        <v>679</v>
      </c>
      <c r="J1986" s="5" t="s">
        <v>102</v>
      </c>
    </row>
    <row r="1987" spans="1:10" ht="60">
      <c r="A1987" s="19" t="s">
        <v>3174</v>
      </c>
      <c r="B1987" s="22" t="s">
        <v>3172</v>
      </c>
      <c r="C1987" s="22" t="s">
        <v>59</v>
      </c>
      <c r="D1987" s="22" t="s">
        <v>3173</v>
      </c>
      <c r="E1987" s="22" t="s">
        <v>336</v>
      </c>
      <c r="F1987" s="6">
        <v>1</v>
      </c>
      <c r="G1987" s="16" t="s">
        <v>272</v>
      </c>
      <c r="H1987" s="15">
        <v>415000</v>
      </c>
      <c r="I1987" s="22" t="s">
        <v>678</v>
      </c>
      <c r="J1987" s="5" t="s">
        <v>102</v>
      </c>
    </row>
    <row r="1988" spans="1:10" ht="60">
      <c r="A1988" s="27" t="s">
        <v>3188</v>
      </c>
      <c r="B1988" s="22" t="s">
        <v>3189</v>
      </c>
      <c r="C1988" s="22" t="s">
        <v>59</v>
      </c>
      <c r="D1988" s="22" t="s">
        <v>3189</v>
      </c>
      <c r="E1988" s="22" t="s">
        <v>336</v>
      </c>
      <c r="F1988" s="6">
        <v>1</v>
      </c>
      <c r="G1988" s="22" t="s">
        <v>101</v>
      </c>
      <c r="H1988" s="15">
        <v>0</v>
      </c>
      <c r="I1988" s="22" t="s">
        <v>678</v>
      </c>
      <c r="J1988" s="5" t="s">
        <v>102</v>
      </c>
    </row>
    <row r="1989" spans="1:10" ht="75">
      <c r="A1989" s="27" t="s">
        <v>3190</v>
      </c>
      <c r="B1989" s="22" t="s">
        <v>3191</v>
      </c>
      <c r="C1989" s="22" t="s">
        <v>59</v>
      </c>
      <c r="D1989" s="22" t="s">
        <v>3191</v>
      </c>
      <c r="E1989" s="22" t="s">
        <v>336</v>
      </c>
      <c r="F1989" s="6">
        <v>1</v>
      </c>
      <c r="G1989" s="22" t="s">
        <v>101</v>
      </c>
      <c r="H1989" s="15">
        <v>241071.43</v>
      </c>
      <c r="I1989" s="22" t="s">
        <v>678</v>
      </c>
      <c r="J1989" s="5" t="s">
        <v>102</v>
      </c>
    </row>
    <row r="1990" spans="1:10" ht="90">
      <c r="A1990" s="27" t="s">
        <v>3194</v>
      </c>
      <c r="B1990" s="22" t="s">
        <v>3195</v>
      </c>
      <c r="C1990" s="22" t="s">
        <v>60</v>
      </c>
      <c r="D1990" s="22" t="s">
        <v>3195</v>
      </c>
      <c r="E1990" s="22" t="s">
        <v>336</v>
      </c>
      <c r="F1990" s="6">
        <v>1</v>
      </c>
      <c r="G1990" s="22" t="s">
        <v>297</v>
      </c>
      <c r="H1990" s="15">
        <f>641963.23+366810.4</f>
        <v>1008773.63</v>
      </c>
      <c r="I1990" s="22" t="s">
        <v>2</v>
      </c>
      <c r="J1990" s="5" t="s">
        <v>102</v>
      </c>
    </row>
    <row r="1991" spans="1:10" ht="45">
      <c r="A1991" s="27" t="s">
        <v>3201</v>
      </c>
      <c r="B1991" s="22" t="s">
        <v>3202</v>
      </c>
      <c r="C1991" s="22" t="s">
        <v>59</v>
      </c>
      <c r="D1991" s="22" t="s">
        <v>3202</v>
      </c>
      <c r="E1991" s="22" t="s">
        <v>336</v>
      </c>
      <c r="F1991" s="6">
        <v>1</v>
      </c>
      <c r="G1991" s="22" t="s">
        <v>101</v>
      </c>
      <c r="H1991" s="15">
        <v>81964.289999999994</v>
      </c>
      <c r="I1991" s="22" t="s">
        <v>679</v>
      </c>
      <c r="J1991" s="5" t="s">
        <v>102</v>
      </c>
    </row>
    <row r="1992" spans="1:10" ht="75">
      <c r="A1992" s="27" t="s">
        <v>3215</v>
      </c>
      <c r="B1992" s="22" t="s">
        <v>3216</v>
      </c>
      <c r="C1992" s="22" t="s">
        <v>60</v>
      </c>
      <c r="D1992" s="22" t="s">
        <v>3216</v>
      </c>
      <c r="E1992" s="22" t="s">
        <v>336</v>
      </c>
      <c r="F1992" s="6">
        <v>1</v>
      </c>
      <c r="G1992" s="22" t="s">
        <v>101</v>
      </c>
      <c r="H1992" s="15">
        <f>6000000-4000000</f>
        <v>2000000</v>
      </c>
      <c r="I1992" s="22" t="s">
        <v>679</v>
      </c>
      <c r="J1992" s="5" t="s">
        <v>102</v>
      </c>
    </row>
    <row r="1993" spans="1:10" ht="45">
      <c r="A1993" s="70" t="s">
        <v>3217</v>
      </c>
      <c r="B1993" s="55" t="s">
        <v>3218</v>
      </c>
      <c r="C1993" s="55" t="s">
        <v>59</v>
      </c>
      <c r="D1993" s="55" t="s">
        <v>3219</v>
      </c>
      <c r="E1993" s="55" t="s">
        <v>336</v>
      </c>
      <c r="F1993" s="55">
        <v>1</v>
      </c>
      <c r="G1993" s="6" t="s">
        <v>101</v>
      </c>
      <c r="H1993" s="15">
        <v>4463547</v>
      </c>
      <c r="I1993" s="55" t="s">
        <v>2</v>
      </c>
      <c r="J1993" s="5" t="s">
        <v>102</v>
      </c>
    </row>
    <row r="1994" spans="1:10" ht="105">
      <c r="A1994" s="27" t="s">
        <v>3353</v>
      </c>
      <c r="B1994" s="22" t="s">
        <v>3354</v>
      </c>
      <c r="C1994" s="22" t="s">
        <v>60</v>
      </c>
      <c r="D1994" s="22" t="s">
        <v>3354</v>
      </c>
      <c r="E1994" s="22" t="s">
        <v>336</v>
      </c>
      <c r="F1994" s="6">
        <v>1</v>
      </c>
      <c r="G1994" s="22" t="s">
        <v>101</v>
      </c>
      <c r="H1994" s="15">
        <v>2633006.25</v>
      </c>
      <c r="I1994" s="22" t="s">
        <v>680</v>
      </c>
      <c r="J1994" s="5" t="s">
        <v>102</v>
      </c>
    </row>
    <row r="1995" spans="1:10" ht="30">
      <c r="A1995" s="27" t="s">
        <v>3374</v>
      </c>
      <c r="B1995" s="22" t="s">
        <v>3375</v>
      </c>
      <c r="C1995" s="22" t="s">
        <v>59</v>
      </c>
      <c r="D1995" s="22" t="s">
        <v>3375</v>
      </c>
      <c r="E1995" s="22" t="s">
        <v>336</v>
      </c>
      <c r="F1995" s="6">
        <v>1</v>
      </c>
      <c r="G1995" s="22" t="s">
        <v>101</v>
      </c>
      <c r="H1995" s="15">
        <f>4801651.79+1232142.86</f>
        <v>6033794.6500000004</v>
      </c>
      <c r="I1995" s="22" t="s">
        <v>680</v>
      </c>
      <c r="J1995" s="5" t="s">
        <v>102</v>
      </c>
    </row>
    <row r="1996" spans="1:10" ht="30">
      <c r="A1996" s="27" t="s">
        <v>3370</v>
      </c>
      <c r="B1996" s="22" t="s">
        <v>3371</v>
      </c>
      <c r="C1996" s="22" t="s">
        <v>59</v>
      </c>
      <c r="D1996" s="22" t="s">
        <v>3371</v>
      </c>
      <c r="E1996" s="22" t="s">
        <v>336</v>
      </c>
      <c r="F1996" s="6">
        <v>1</v>
      </c>
      <c r="G1996" s="22" t="s">
        <v>101</v>
      </c>
      <c r="H1996" s="15">
        <v>126000</v>
      </c>
      <c r="I1996" s="22" t="s">
        <v>680</v>
      </c>
      <c r="J1996" s="5" t="s">
        <v>102</v>
      </c>
    </row>
    <row r="1997" spans="1:10" ht="30">
      <c r="A1997" s="27" t="s">
        <v>3417</v>
      </c>
      <c r="B1997" s="22" t="s">
        <v>3418</v>
      </c>
      <c r="C1997" s="22" t="s">
        <v>60</v>
      </c>
      <c r="D1997" s="22" t="s">
        <v>3418</v>
      </c>
      <c r="E1997" s="22" t="s">
        <v>336</v>
      </c>
      <c r="F1997" s="6">
        <v>1</v>
      </c>
      <c r="G1997" s="6" t="s">
        <v>101</v>
      </c>
      <c r="H1997" s="15">
        <v>230000</v>
      </c>
      <c r="I1997" s="22" t="s">
        <v>680</v>
      </c>
      <c r="J1997" s="5" t="s">
        <v>102</v>
      </c>
    </row>
    <row r="1998" spans="1:10">
      <c r="A1998" s="27" t="s">
        <v>566</v>
      </c>
      <c r="B1998" s="12" t="s">
        <v>369</v>
      </c>
      <c r="C1998" s="22" t="s">
        <v>60</v>
      </c>
      <c r="D1998" s="12" t="s">
        <v>369</v>
      </c>
      <c r="E1998" s="3" t="s">
        <v>336</v>
      </c>
      <c r="F1998" s="6">
        <v>1</v>
      </c>
      <c r="G1998" s="3" t="s">
        <v>101</v>
      </c>
      <c r="H1998" s="13">
        <f>SUM(H1999:H2004)</f>
        <v>19269199.600000001</v>
      </c>
      <c r="I1998" s="3" t="s">
        <v>578</v>
      </c>
      <c r="J1998" s="5" t="s">
        <v>102</v>
      </c>
    </row>
    <row r="1999" spans="1:10" ht="90">
      <c r="A1999" s="27" t="s">
        <v>2044</v>
      </c>
      <c r="B1999" s="3" t="s">
        <v>1188</v>
      </c>
      <c r="C1999" s="3" t="s">
        <v>60</v>
      </c>
      <c r="D1999" s="3" t="s">
        <v>1193</v>
      </c>
      <c r="E1999" s="3" t="s">
        <v>336</v>
      </c>
      <c r="F1999" s="6">
        <v>1</v>
      </c>
      <c r="G1999" s="3" t="s">
        <v>101</v>
      </c>
      <c r="H1999" s="5">
        <v>350000</v>
      </c>
      <c r="I1999" s="3" t="s">
        <v>678</v>
      </c>
      <c r="J1999" s="5" t="s">
        <v>102</v>
      </c>
    </row>
    <row r="2000" spans="1:10" ht="45">
      <c r="A2000" s="27" t="s">
        <v>2045</v>
      </c>
      <c r="B2000" s="3" t="s">
        <v>1189</v>
      </c>
      <c r="C2000" s="3" t="s">
        <v>60</v>
      </c>
      <c r="D2000" s="3" t="s">
        <v>1190</v>
      </c>
      <c r="E2000" s="3" t="s">
        <v>336</v>
      </c>
      <c r="F2000" s="6">
        <v>1</v>
      </c>
      <c r="G2000" s="3" t="s">
        <v>101</v>
      </c>
      <c r="H2000" s="5">
        <v>4661310</v>
      </c>
      <c r="I2000" s="22" t="s">
        <v>678</v>
      </c>
      <c r="J2000" s="5" t="s">
        <v>102</v>
      </c>
    </row>
    <row r="2001" spans="1:10" ht="60">
      <c r="A2001" s="27" t="s">
        <v>2046</v>
      </c>
      <c r="B2001" s="3" t="s">
        <v>1191</v>
      </c>
      <c r="C2001" s="3" t="s">
        <v>60</v>
      </c>
      <c r="D2001" s="3" t="s">
        <v>1192</v>
      </c>
      <c r="E2001" s="3" t="s">
        <v>336</v>
      </c>
      <c r="F2001" s="6">
        <v>1</v>
      </c>
      <c r="G2001" s="3" t="s">
        <v>101</v>
      </c>
      <c r="H2001" s="5">
        <v>1124700</v>
      </c>
      <c r="I2001" s="22" t="s">
        <v>678</v>
      </c>
      <c r="J2001" s="5" t="s">
        <v>102</v>
      </c>
    </row>
    <row r="2002" spans="1:10" ht="30">
      <c r="A2002" s="27" t="s">
        <v>2047</v>
      </c>
      <c r="B2002" s="3" t="s">
        <v>1194</v>
      </c>
      <c r="C2002" s="3" t="s">
        <v>60</v>
      </c>
      <c r="D2002" s="22" t="s">
        <v>1194</v>
      </c>
      <c r="E2002" s="3" t="s">
        <v>336</v>
      </c>
      <c r="F2002" s="6">
        <v>1</v>
      </c>
      <c r="G2002" s="3" t="s">
        <v>101</v>
      </c>
      <c r="H2002" s="5">
        <f>4500000-366810.4</f>
        <v>4133189.6</v>
      </c>
      <c r="I2002" s="22" t="s">
        <v>678</v>
      </c>
      <c r="J2002" s="5" t="s">
        <v>102</v>
      </c>
    </row>
    <row r="2003" spans="1:10" ht="45">
      <c r="A2003" s="27" t="s">
        <v>2048</v>
      </c>
      <c r="B2003" s="3" t="s">
        <v>1195</v>
      </c>
      <c r="C2003" s="3" t="s">
        <v>60</v>
      </c>
      <c r="D2003" s="3" t="s">
        <v>1195</v>
      </c>
      <c r="E2003" s="3" t="s">
        <v>336</v>
      </c>
      <c r="F2003" s="6">
        <v>1</v>
      </c>
      <c r="G2003" s="3" t="s">
        <v>101</v>
      </c>
      <c r="H2003" s="5">
        <v>6000000</v>
      </c>
      <c r="I2003" s="22" t="s">
        <v>678</v>
      </c>
      <c r="J2003" s="5" t="s">
        <v>102</v>
      </c>
    </row>
    <row r="2004" spans="1:10" ht="30">
      <c r="A2004" s="27" t="s">
        <v>2049</v>
      </c>
      <c r="B2004" s="3" t="s">
        <v>1196</v>
      </c>
      <c r="C2004" s="3" t="s">
        <v>60</v>
      </c>
      <c r="D2004" s="3" t="s">
        <v>1196</v>
      </c>
      <c r="E2004" s="3" t="s">
        <v>336</v>
      </c>
      <c r="F2004" s="6">
        <v>1</v>
      </c>
      <c r="G2004" s="3" t="s">
        <v>101</v>
      </c>
      <c r="H2004" s="5">
        <v>3000000</v>
      </c>
      <c r="I2004" s="22" t="s">
        <v>678</v>
      </c>
      <c r="J2004" s="5" t="s">
        <v>102</v>
      </c>
    </row>
    <row r="2005" spans="1:10" ht="57">
      <c r="A2005" s="27" t="s">
        <v>567</v>
      </c>
      <c r="B2005" s="12" t="s">
        <v>9</v>
      </c>
      <c r="C2005" s="3" t="s">
        <v>60</v>
      </c>
      <c r="D2005" s="3" t="s">
        <v>9</v>
      </c>
      <c r="E2005" s="3" t="s">
        <v>336</v>
      </c>
      <c r="F2005" s="6">
        <v>1</v>
      </c>
      <c r="G2005" s="3" t="s">
        <v>101</v>
      </c>
      <c r="H2005" s="13">
        <f>10000000-1470000</f>
        <v>8530000</v>
      </c>
      <c r="I2005" s="3" t="s">
        <v>2</v>
      </c>
      <c r="J2005" s="5" t="s">
        <v>102</v>
      </c>
    </row>
    <row r="2006" spans="1:10" ht="75">
      <c r="A2006" s="48" t="s">
        <v>3376</v>
      </c>
      <c r="B2006" s="22" t="s">
        <v>3377</v>
      </c>
      <c r="C2006" s="22" t="s">
        <v>59</v>
      </c>
      <c r="D2006" s="22" t="s">
        <v>3377</v>
      </c>
      <c r="E2006" s="22" t="s">
        <v>336</v>
      </c>
      <c r="F2006" s="6">
        <v>1</v>
      </c>
      <c r="G2006" s="22" t="s">
        <v>101</v>
      </c>
      <c r="H2006" s="13">
        <v>1250000</v>
      </c>
      <c r="I2006" s="22" t="s">
        <v>680</v>
      </c>
      <c r="J2006" s="5" t="s">
        <v>102</v>
      </c>
    </row>
    <row r="2007" spans="1:10" ht="60">
      <c r="A2007" s="48" t="s">
        <v>3378</v>
      </c>
      <c r="B2007" s="22" t="s">
        <v>3379</v>
      </c>
      <c r="C2007" s="22" t="s">
        <v>59</v>
      </c>
      <c r="D2007" s="22" t="s">
        <v>3380</v>
      </c>
      <c r="E2007" s="22" t="s">
        <v>336</v>
      </c>
      <c r="F2007" s="6">
        <v>1</v>
      </c>
      <c r="G2007" s="22" t="s">
        <v>101</v>
      </c>
      <c r="H2007" s="13">
        <v>220000</v>
      </c>
      <c r="I2007" s="22" t="s">
        <v>680</v>
      </c>
      <c r="J2007" s="5" t="s">
        <v>102</v>
      </c>
    </row>
    <row r="2008" spans="1:10" ht="30">
      <c r="A2008" s="39" t="s">
        <v>568</v>
      </c>
      <c r="B2008" s="12" t="s">
        <v>1235</v>
      </c>
      <c r="C2008" s="22" t="s">
        <v>60</v>
      </c>
      <c r="D2008" s="22" t="s">
        <v>1235</v>
      </c>
      <c r="E2008" s="22" t="s">
        <v>336</v>
      </c>
      <c r="F2008" s="6">
        <v>1</v>
      </c>
      <c r="G2008" s="22" t="s">
        <v>101</v>
      </c>
      <c r="H2008" s="13">
        <v>3098340</v>
      </c>
      <c r="I2008" s="22" t="s">
        <v>681</v>
      </c>
      <c r="J2008" s="5" t="s">
        <v>102</v>
      </c>
    </row>
    <row r="2009" spans="1:10" ht="45">
      <c r="A2009" s="39" t="s">
        <v>569</v>
      </c>
      <c r="B2009" s="12" t="s">
        <v>372</v>
      </c>
      <c r="C2009" s="3" t="s">
        <v>60</v>
      </c>
      <c r="D2009" s="3" t="s">
        <v>1234</v>
      </c>
      <c r="E2009" s="3" t="s">
        <v>336</v>
      </c>
      <c r="F2009" s="6">
        <v>1</v>
      </c>
      <c r="G2009" s="3" t="s">
        <v>101</v>
      </c>
      <c r="H2009" s="13">
        <v>9017857.1400000006</v>
      </c>
      <c r="I2009" s="3" t="s">
        <v>104</v>
      </c>
      <c r="J2009" s="5" t="s">
        <v>102</v>
      </c>
    </row>
    <row r="2010" spans="1:10" ht="30">
      <c r="A2010" s="39" t="s">
        <v>570</v>
      </c>
      <c r="B2010" s="12" t="s">
        <v>6</v>
      </c>
      <c r="C2010" s="3" t="s">
        <v>60</v>
      </c>
      <c r="D2010" s="3" t="s">
        <v>6</v>
      </c>
      <c r="E2010" s="3" t="s">
        <v>336</v>
      </c>
      <c r="F2010" s="6">
        <v>1</v>
      </c>
      <c r="G2010" s="3" t="s">
        <v>101</v>
      </c>
      <c r="H2010" s="13">
        <v>1800000</v>
      </c>
      <c r="I2010" s="3" t="s">
        <v>103</v>
      </c>
      <c r="J2010" s="5" t="s">
        <v>102</v>
      </c>
    </row>
    <row r="2011" spans="1:10" ht="30">
      <c r="A2011" s="39" t="s">
        <v>572</v>
      </c>
      <c r="B2011" s="12" t="s">
        <v>373</v>
      </c>
      <c r="C2011" s="4" t="s">
        <v>578</v>
      </c>
      <c r="D2011" s="3" t="s">
        <v>373</v>
      </c>
      <c r="E2011" s="3" t="s">
        <v>578</v>
      </c>
      <c r="F2011" s="6" t="s">
        <v>578</v>
      </c>
      <c r="G2011" s="6" t="s">
        <v>578</v>
      </c>
      <c r="H2011" s="13">
        <f>SUM(H2012:H2019)</f>
        <v>6562500</v>
      </c>
      <c r="I2011" s="3" t="s">
        <v>578</v>
      </c>
      <c r="J2011" s="5" t="s">
        <v>102</v>
      </c>
    </row>
    <row r="2012" spans="1:10" ht="30">
      <c r="A2012" s="39" t="s">
        <v>2050</v>
      </c>
      <c r="B2012" s="22" t="s">
        <v>378</v>
      </c>
      <c r="C2012" s="4" t="s">
        <v>60</v>
      </c>
      <c r="D2012" s="22" t="s">
        <v>1941</v>
      </c>
      <c r="E2012" s="22" t="s">
        <v>336</v>
      </c>
      <c r="F2012" s="6">
        <v>1</v>
      </c>
      <c r="G2012" s="22" t="s">
        <v>101</v>
      </c>
      <c r="H2012" s="5">
        <f>700000/1.12-62500</f>
        <v>562499.99999999988</v>
      </c>
      <c r="I2012" s="22" t="s">
        <v>681</v>
      </c>
      <c r="J2012" s="5" t="s">
        <v>102</v>
      </c>
    </row>
    <row r="2013" spans="1:10" ht="45">
      <c r="A2013" s="39" t="s">
        <v>2051</v>
      </c>
      <c r="B2013" s="3" t="s">
        <v>378</v>
      </c>
      <c r="C2013" s="3" t="s">
        <v>59</v>
      </c>
      <c r="D2013" s="3" t="s">
        <v>377</v>
      </c>
      <c r="E2013" s="3" t="s">
        <v>336</v>
      </c>
      <c r="F2013" s="6">
        <v>1</v>
      </c>
      <c r="G2013" s="3" t="s">
        <v>101</v>
      </c>
      <c r="H2013" s="5">
        <f>1800000/1.12</f>
        <v>1607142.857142857</v>
      </c>
      <c r="I2013" s="3" t="s">
        <v>681</v>
      </c>
      <c r="J2013" s="5" t="s">
        <v>102</v>
      </c>
    </row>
    <row r="2014" spans="1:10" ht="30">
      <c r="A2014" s="39" t="s">
        <v>2052</v>
      </c>
      <c r="B2014" s="3" t="s">
        <v>1254</v>
      </c>
      <c r="C2014" s="3" t="s">
        <v>59</v>
      </c>
      <c r="D2014" s="3" t="s">
        <v>1254</v>
      </c>
      <c r="E2014" s="3" t="s">
        <v>336</v>
      </c>
      <c r="F2014" s="6">
        <v>1</v>
      </c>
      <c r="G2014" s="3" t="s">
        <v>101</v>
      </c>
      <c r="H2014" s="5">
        <f>600000/1.12</f>
        <v>535714.28571428568</v>
      </c>
      <c r="I2014" s="3" t="s">
        <v>679</v>
      </c>
      <c r="J2014" s="5" t="s">
        <v>102</v>
      </c>
    </row>
    <row r="2015" spans="1:10" ht="30">
      <c r="A2015" s="39" t="s">
        <v>2053</v>
      </c>
      <c r="B2015" s="3" t="s">
        <v>585</v>
      </c>
      <c r="C2015" s="3" t="s">
        <v>59</v>
      </c>
      <c r="D2015" s="3" t="s">
        <v>381</v>
      </c>
      <c r="E2015" s="3" t="s">
        <v>336</v>
      </c>
      <c r="F2015" s="6">
        <v>1</v>
      </c>
      <c r="G2015" s="3" t="s">
        <v>101</v>
      </c>
      <c r="H2015" s="5">
        <f>2400000/1.12</f>
        <v>2142857.1428571427</v>
      </c>
      <c r="I2015" s="22" t="s">
        <v>681</v>
      </c>
      <c r="J2015" s="5" t="s">
        <v>102</v>
      </c>
    </row>
    <row r="2016" spans="1:10" ht="30">
      <c r="A2016" s="39" t="s">
        <v>2054</v>
      </c>
      <c r="B2016" s="22" t="s">
        <v>1255</v>
      </c>
      <c r="C2016" s="3" t="s">
        <v>59</v>
      </c>
      <c r="D2016" s="3" t="s">
        <v>1255</v>
      </c>
      <c r="E2016" s="3" t="s">
        <v>336</v>
      </c>
      <c r="F2016" s="6">
        <v>1</v>
      </c>
      <c r="G2016" s="3" t="s">
        <v>101</v>
      </c>
      <c r="H2016" s="5">
        <f>1248000/1.12</f>
        <v>1114285.7142857141</v>
      </c>
      <c r="I2016" s="22" t="s">
        <v>681</v>
      </c>
      <c r="J2016" s="5" t="s">
        <v>102</v>
      </c>
    </row>
    <row r="2017" spans="1:10" ht="60">
      <c r="A2017" s="39" t="s">
        <v>2055</v>
      </c>
      <c r="B2017" s="22" t="s">
        <v>1256</v>
      </c>
      <c r="C2017" s="22" t="s">
        <v>60</v>
      </c>
      <c r="D2017" s="22" t="s">
        <v>1256</v>
      </c>
      <c r="E2017" s="22" t="s">
        <v>336</v>
      </c>
      <c r="F2017" s="6">
        <v>1</v>
      </c>
      <c r="G2017" s="22" t="s">
        <v>101</v>
      </c>
      <c r="H2017" s="5">
        <v>200000</v>
      </c>
      <c r="I2017" s="22" t="s">
        <v>681</v>
      </c>
      <c r="J2017" s="5" t="s">
        <v>102</v>
      </c>
    </row>
    <row r="2018" spans="1:10" ht="30">
      <c r="A2018" s="39" t="s">
        <v>2056</v>
      </c>
      <c r="B2018" s="22" t="s">
        <v>1257</v>
      </c>
      <c r="C2018" s="22" t="s">
        <v>60</v>
      </c>
      <c r="D2018" s="22" t="s">
        <v>1257</v>
      </c>
      <c r="E2018" s="22" t="s">
        <v>336</v>
      </c>
      <c r="F2018" s="6">
        <v>1</v>
      </c>
      <c r="G2018" s="22" t="s">
        <v>101</v>
      </c>
      <c r="H2018" s="5">
        <v>200000</v>
      </c>
      <c r="I2018" s="22" t="s">
        <v>678</v>
      </c>
      <c r="J2018" s="5" t="s">
        <v>102</v>
      </c>
    </row>
    <row r="2019" spans="1:10" ht="60">
      <c r="A2019" s="39" t="s">
        <v>2057</v>
      </c>
      <c r="B2019" s="22" t="s">
        <v>1258</v>
      </c>
      <c r="C2019" s="22" t="s">
        <v>60</v>
      </c>
      <c r="D2019" s="22" t="s">
        <v>1258</v>
      </c>
      <c r="E2019" s="22" t="s">
        <v>336</v>
      </c>
      <c r="F2019" s="6">
        <v>1</v>
      </c>
      <c r="G2019" s="22" t="s">
        <v>101</v>
      </c>
      <c r="H2019" s="5">
        <v>200000</v>
      </c>
      <c r="I2019" s="22" t="s">
        <v>679</v>
      </c>
      <c r="J2019" s="5" t="s">
        <v>102</v>
      </c>
    </row>
    <row r="2020" spans="1:10" ht="30">
      <c r="A2020" s="27" t="s">
        <v>571</v>
      </c>
      <c r="B2020" s="12" t="s">
        <v>1260</v>
      </c>
      <c r="C2020" s="22" t="s">
        <v>60</v>
      </c>
      <c r="D2020" s="22" t="s">
        <v>1259</v>
      </c>
      <c r="E2020" s="22" t="s">
        <v>336</v>
      </c>
      <c r="F2020" s="6">
        <v>1</v>
      </c>
      <c r="G2020" s="22" t="s">
        <v>101</v>
      </c>
      <c r="H2020" s="13">
        <v>60000</v>
      </c>
      <c r="I2020" s="22" t="s">
        <v>681</v>
      </c>
      <c r="J2020" s="5" t="s">
        <v>102</v>
      </c>
    </row>
    <row r="2021" spans="1:10" ht="45">
      <c r="A2021" s="27" t="s">
        <v>573</v>
      </c>
      <c r="B2021" s="12" t="s">
        <v>1261</v>
      </c>
      <c r="C2021" s="22" t="s">
        <v>60</v>
      </c>
      <c r="D2021" s="22" t="s">
        <v>1261</v>
      </c>
      <c r="E2021" s="22" t="s">
        <v>336</v>
      </c>
      <c r="F2021" s="6">
        <v>1</v>
      </c>
      <c r="G2021" s="22" t="s">
        <v>101</v>
      </c>
      <c r="H2021" s="13">
        <v>750000</v>
      </c>
      <c r="I2021" s="22" t="s">
        <v>681</v>
      </c>
      <c r="J2021" s="5" t="s">
        <v>102</v>
      </c>
    </row>
    <row r="2022" spans="1:10" ht="60">
      <c r="A2022" s="27" t="s">
        <v>574</v>
      </c>
      <c r="B2022" s="12" t="s">
        <v>1263</v>
      </c>
      <c r="C2022" s="22" t="s">
        <v>59</v>
      </c>
      <c r="D2022" s="22" t="s">
        <v>1262</v>
      </c>
      <c r="E2022" s="22" t="s">
        <v>336</v>
      </c>
      <c r="F2022" s="6">
        <v>1</v>
      </c>
      <c r="G2022" s="22" t="s">
        <v>101</v>
      </c>
      <c r="H2022" s="13">
        <v>700000</v>
      </c>
      <c r="I2022" s="22" t="s">
        <v>680</v>
      </c>
      <c r="J2022" s="5" t="s">
        <v>102</v>
      </c>
    </row>
    <row r="2023" spans="1:10" ht="30">
      <c r="A2023" s="27" t="s">
        <v>576</v>
      </c>
      <c r="B2023" s="12" t="s">
        <v>1264</v>
      </c>
      <c r="C2023" s="4" t="s">
        <v>60</v>
      </c>
      <c r="D2023" s="3" t="s">
        <v>1264</v>
      </c>
      <c r="E2023" s="3" t="s">
        <v>336</v>
      </c>
      <c r="F2023" s="6">
        <v>1</v>
      </c>
      <c r="G2023" s="3" t="s">
        <v>101</v>
      </c>
      <c r="H2023" s="13">
        <v>1060000</v>
      </c>
      <c r="I2023" s="22" t="s">
        <v>681</v>
      </c>
      <c r="J2023" s="5" t="s">
        <v>102</v>
      </c>
    </row>
    <row r="2024" spans="1:10" ht="60">
      <c r="A2024" s="27" t="s">
        <v>577</v>
      </c>
      <c r="B2024" s="12" t="s">
        <v>382</v>
      </c>
      <c r="C2024" s="4" t="s">
        <v>60</v>
      </c>
      <c r="D2024" s="3" t="s">
        <v>7</v>
      </c>
      <c r="E2024" s="3" t="s">
        <v>336</v>
      </c>
      <c r="F2024" s="6">
        <v>1</v>
      </c>
      <c r="G2024" s="3" t="s">
        <v>101</v>
      </c>
      <c r="H2024" s="13">
        <v>1600000</v>
      </c>
      <c r="I2024" s="22" t="s">
        <v>681</v>
      </c>
      <c r="J2024" s="5" t="s">
        <v>102</v>
      </c>
    </row>
    <row r="2025" spans="1:10" ht="57">
      <c r="A2025" s="27" t="s">
        <v>1890</v>
      </c>
      <c r="B2025" s="12" t="s">
        <v>8</v>
      </c>
      <c r="C2025" s="22" t="s">
        <v>58</v>
      </c>
      <c r="D2025" s="22" t="s">
        <v>8</v>
      </c>
      <c r="E2025" s="22" t="s">
        <v>336</v>
      </c>
      <c r="F2025" s="6">
        <v>1</v>
      </c>
      <c r="G2025" s="22" t="s">
        <v>101</v>
      </c>
      <c r="H2025" s="13">
        <f>3800000-24107.14-361607.14</f>
        <v>3414285.7199999997</v>
      </c>
      <c r="I2025" s="22" t="s">
        <v>681</v>
      </c>
      <c r="J2025" s="5" t="s">
        <v>102</v>
      </c>
    </row>
    <row r="2026" spans="1:10" ht="30">
      <c r="A2026" s="27" t="s">
        <v>3175</v>
      </c>
      <c r="B2026" s="22" t="s">
        <v>3176</v>
      </c>
      <c r="C2026" s="22" t="s">
        <v>59</v>
      </c>
      <c r="D2026" s="22" t="s">
        <v>3176</v>
      </c>
      <c r="E2026" s="22" t="s">
        <v>336</v>
      </c>
      <c r="F2026" s="6">
        <v>1</v>
      </c>
      <c r="G2026" s="22" t="s">
        <v>101</v>
      </c>
      <c r="H2026" s="13">
        <f>24107.14+361607.14</f>
        <v>385714.28</v>
      </c>
      <c r="I2026" s="22" t="s">
        <v>678</v>
      </c>
      <c r="J2026" s="5" t="s">
        <v>102</v>
      </c>
    </row>
    <row r="2027" spans="1:10" ht="45">
      <c r="A2027" s="27" t="s">
        <v>1891</v>
      </c>
      <c r="B2027" s="12" t="s">
        <v>583</v>
      </c>
      <c r="C2027" s="4" t="s">
        <v>59</v>
      </c>
      <c r="D2027" s="22" t="s">
        <v>583</v>
      </c>
      <c r="E2027" s="22" t="s">
        <v>336</v>
      </c>
      <c r="F2027" s="6">
        <v>1</v>
      </c>
      <c r="G2027" s="22" t="s">
        <v>101</v>
      </c>
      <c r="H2027" s="13">
        <f>540000+240000</f>
        <v>780000</v>
      </c>
      <c r="I2027" s="22" t="s">
        <v>681</v>
      </c>
      <c r="J2027" s="5" t="s">
        <v>102</v>
      </c>
    </row>
    <row r="2028" spans="1:10" ht="30">
      <c r="A2028" s="27" t="s">
        <v>1892</v>
      </c>
      <c r="B2028" s="12" t="s">
        <v>584</v>
      </c>
      <c r="C2028" s="4" t="s">
        <v>59</v>
      </c>
      <c r="D2028" s="22" t="s">
        <v>584</v>
      </c>
      <c r="E2028" s="22" t="s">
        <v>336</v>
      </c>
      <c r="F2028" s="6">
        <v>1</v>
      </c>
      <c r="G2028" s="22" t="s">
        <v>101</v>
      </c>
      <c r="H2028" s="13">
        <f>810000+264000</f>
        <v>1074000</v>
      </c>
      <c r="I2028" s="22" t="s">
        <v>681</v>
      </c>
      <c r="J2028" s="5" t="s">
        <v>102</v>
      </c>
    </row>
    <row r="2029" spans="1:10" ht="30">
      <c r="A2029" s="27" t="s">
        <v>1893</v>
      </c>
      <c r="B2029" s="12" t="s">
        <v>1888</v>
      </c>
      <c r="C2029" s="4" t="s">
        <v>59</v>
      </c>
      <c r="D2029" s="22" t="s">
        <v>1889</v>
      </c>
      <c r="E2029" s="22" t="s">
        <v>610</v>
      </c>
      <c r="F2029" s="6">
        <v>1</v>
      </c>
      <c r="G2029" s="6" t="s">
        <v>101</v>
      </c>
      <c r="H2029" s="13">
        <v>182946.43</v>
      </c>
      <c r="I2029" s="22" t="s">
        <v>678</v>
      </c>
      <c r="J2029" s="5" t="s">
        <v>102</v>
      </c>
    </row>
    <row r="2030" spans="1:10" ht="85.5">
      <c r="A2030" s="27" t="s">
        <v>1905</v>
      </c>
      <c r="B2030" s="12" t="s">
        <v>3234</v>
      </c>
      <c r="C2030" s="4" t="s">
        <v>578</v>
      </c>
      <c r="D2030" s="22" t="s">
        <v>1896</v>
      </c>
      <c r="E2030" s="22" t="s">
        <v>578</v>
      </c>
      <c r="F2030" s="6" t="s">
        <v>578</v>
      </c>
      <c r="G2030" s="6" t="s">
        <v>578</v>
      </c>
      <c r="H2030" s="13">
        <f>SUM(H2031:H2032)</f>
        <v>92628313.390000001</v>
      </c>
      <c r="I2030" s="22" t="s">
        <v>578</v>
      </c>
      <c r="J2030" s="5" t="s">
        <v>578</v>
      </c>
    </row>
    <row r="2031" spans="1:10" ht="30">
      <c r="A2031" s="27" t="s">
        <v>2058</v>
      </c>
      <c r="B2031" s="22" t="s">
        <v>1894</v>
      </c>
      <c r="C2031" s="4" t="s">
        <v>58</v>
      </c>
      <c r="D2031" s="22" t="s">
        <v>1894</v>
      </c>
      <c r="E2031" s="22" t="s">
        <v>100</v>
      </c>
      <c r="F2031" s="6">
        <v>10</v>
      </c>
      <c r="G2031" s="6" t="s">
        <v>125</v>
      </c>
      <c r="H2031" s="5">
        <v>45476527.68</v>
      </c>
      <c r="I2031" s="22" t="s">
        <v>678</v>
      </c>
      <c r="J2031" s="5" t="s">
        <v>102</v>
      </c>
    </row>
    <row r="2032" spans="1:10" ht="30">
      <c r="A2032" s="27" t="s">
        <v>2059</v>
      </c>
      <c r="B2032" s="22" t="s">
        <v>1895</v>
      </c>
      <c r="C2032" s="4" t="s">
        <v>58</v>
      </c>
      <c r="D2032" s="22" t="s">
        <v>1895</v>
      </c>
      <c r="E2032" s="22" t="s">
        <v>586</v>
      </c>
      <c r="F2032" s="6">
        <v>1</v>
      </c>
      <c r="G2032" s="6" t="s">
        <v>310</v>
      </c>
      <c r="H2032" s="5">
        <v>47151785.710000001</v>
      </c>
      <c r="I2032" s="22" t="s">
        <v>678</v>
      </c>
      <c r="J2032" s="5" t="s">
        <v>102</v>
      </c>
    </row>
    <row r="2033" spans="1:10" ht="30">
      <c r="A2033" s="27" t="s">
        <v>1906</v>
      </c>
      <c r="B2033" s="43" t="s">
        <v>1886</v>
      </c>
      <c r="C2033" s="4" t="s">
        <v>58</v>
      </c>
      <c r="D2033" s="44" t="s">
        <v>1887</v>
      </c>
      <c r="E2033" s="22" t="s">
        <v>336</v>
      </c>
      <c r="F2033" s="45">
        <v>1</v>
      </c>
      <c r="G2033" s="46" t="s">
        <v>304</v>
      </c>
      <c r="H2033" s="13">
        <f>3003324181/1.12-13285714.29</f>
        <v>2668253733.0314283</v>
      </c>
      <c r="I2033" s="22" t="s">
        <v>681</v>
      </c>
      <c r="J2033" s="47" t="s">
        <v>102</v>
      </c>
    </row>
    <row r="2034" spans="1:10" ht="45">
      <c r="A2034" s="27" t="s">
        <v>1907</v>
      </c>
      <c r="B2034" s="43" t="s">
        <v>1898</v>
      </c>
      <c r="C2034" s="4" t="s">
        <v>578</v>
      </c>
      <c r="D2034" s="44" t="s">
        <v>1898</v>
      </c>
      <c r="E2034" s="22" t="s">
        <v>578</v>
      </c>
      <c r="F2034" s="45" t="s">
        <v>578</v>
      </c>
      <c r="G2034" s="46" t="s">
        <v>578</v>
      </c>
      <c r="H2034" s="13">
        <f>H2035</f>
        <v>258928571.43000001</v>
      </c>
      <c r="I2034" s="22" t="s">
        <v>578</v>
      </c>
      <c r="J2034" s="47" t="s">
        <v>578</v>
      </c>
    </row>
    <row r="2035" spans="1:10" ht="30">
      <c r="A2035" s="27" t="s">
        <v>1908</v>
      </c>
      <c r="B2035" s="43" t="s">
        <v>1897</v>
      </c>
      <c r="C2035" s="4" t="s">
        <v>58</v>
      </c>
      <c r="D2035" s="44" t="s">
        <v>1897</v>
      </c>
      <c r="E2035" s="22" t="s">
        <v>608</v>
      </c>
      <c r="F2035" s="6">
        <v>1</v>
      </c>
      <c r="G2035" s="6" t="s">
        <v>101</v>
      </c>
      <c r="H2035" s="5">
        <f>89285714.29+169642857.14</f>
        <v>258928571.43000001</v>
      </c>
      <c r="I2035" s="22" t="s">
        <v>681</v>
      </c>
      <c r="J2035" s="47" t="s">
        <v>102</v>
      </c>
    </row>
    <row r="2036" spans="1:10" ht="75">
      <c r="A2036" s="27" t="s">
        <v>2060</v>
      </c>
      <c r="B2036" s="43" t="s">
        <v>1901</v>
      </c>
      <c r="C2036" s="4" t="s">
        <v>578</v>
      </c>
      <c r="D2036" s="44" t="s">
        <v>1901</v>
      </c>
      <c r="E2036" s="22" t="s">
        <v>578</v>
      </c>
      <c r="F2036" s="6" t="s">
        <v>578</v>
      </c>
      <c r="G2036" s="6" t="s">
        <v>578</v>
      </c>
      <c r="H2036" s="13">
        <f>SUM(H2037+H2038)</f>
        <v>37010252.670000002</v>
      </c>
      <c r="I2036" s="22" t="s">
        <v>578</v>
      </c>
      <c r="J2036" s="47" t="s">
        <v>578</v>
      </c>
    </row>
    <row r="2037" spans="1:10" ht="90">
      <c r="A2037" s="27" t="s">
        <v>1909</v>
      </c>
      <c r="B2037" s="44" t="s">
        <v>1899</v>
      </c>
      <c r="C2037" s="4" t="s">
        <v>578</v>
      </c>
      <c r="D2037" s="44" t="s">
        <v>1899</v>
      </c>
      <c r="E2037" s="22" t="s">
        <v>336</v>
      </c>
      <c r="F2037" s="6">
        <v>1</v>
      </c>
      <c r="G2037" s="6" t="s">
        <v>101</v>
      </c>
      <c r="H2037" s="5">
        <v>3839285.71</v>
      </c>
      <c r="I2037" s="22" t="s">
        <v>680</v>
      </c>
      <c r="J2037" s="47" t="s">
        <v>102</v>
      </c>
    </row>
    <row r="2038" spans="1:10" ht="30">
      <c r="A2038" s="27" t="s">
        <v>1910</v>
      </c>
      <c r="B2038" s="44" t="s">
        <v>1900</v>
      </c>
      <c r="C2038" s="4" t="s">
        <v>58</v>
      </c>
      <c r="D2038" s="44" t="s">
        <v>1900</v>
      </c>
      <c r="E2038" s="22" t="s">
        <v>336</v>
      </c>
      <c r="F2038" s="6">
        <v>1</v>
      </c>
      <c r="G2038" s="6" t="s">
        <v>101</v>
      </c>
      <c r="H2038" s="5">
        <v>33170966.960000001</v>
      </c>
      <c r="I2038" s="22" t="s">
        <v>678</v>
      </c>
      <c r="J2038" s="47" t="s">
        <v>102</v>
      </c>
    </row>
    <row r="2039" spans="1:10" ht="142.5">
      <c r="A2039" s="44">
        <v>57</v>
      </c>
      <c r="B2039" s="43" t="s">
        <v>1911</v>
      </c>
      <c r="C2039" s="4" t="s">
        <v>578</v>
      </c>
      <c r="D2039" s="44" t="s">
        <v>1911</v>
      </c>
      <c r="E2039" s="4" t="s">
        <v>578</v>
      </c>
      <c r="F2039" s="4" t="s">
        <v>578</v>
      </c>
      <c r="G2039" s="4" t="s">
        <v>578</v>
      </c>
      <c r="H2039" s="13">
        <f>SUM(H2040:H2042)</f>
        <v>24820294.640000001</v>
      </c>
      <c r="I2039" s="4" t="s">
        <v>578</v>
      </c>
      <c r="J2039" s="4" t="s">
        <v>578</v>
      </c>
    </row>
    <row r="2040" spans="1:10" ht="30">
      <c r="A2040" s="27" t="s">
        <v>1912</v>
      </c>
      <c r="B2040" s="44" t="s">
        <v>1902</v>
      </c>
      <c r="C2040" s="4" t="s">
        <v>58</v>
      </c>
      <c r="D2040" s="44" t="s">
        <v>1902</v>
      </c>
      <c r="E2040" s="22" t="s">
        <v>608</v>
      </c>
      <c r="F2040" s="6">
        <v>5</v>
      </c>
      <c r="G2040" s="6" t="s">
        <v>101</v>
      </c>
      <c r="H2040" s="5">
        <v>1199758.93</v>
      </c>
      <c r="I2040" s="22" t="s">
        <v>681</v>
      </c>
      <c r="J2040" s="47" t="s">
        <v>102</v>
      </c>
    </row>
    <row r="2041" spans="1:10" ht="30">
      <c r="A2041" s="27" t="s">
        <v>1913</v>
      </c>
      <c r="B2041" s="44" t="s">
        <v>1903</v>
      </c>
      <c r="C2041" s="4" t="s">
        <v>58</v>
      </c>
      <c r="D2041" s="44" t="s">
        <v>1903</v>
      </c>
      <c r="E2041" s="22" t="s">
        <v>336</v>
      </c>
      <c r="F2041" s="6">
        <v>1</v>
      </c>
      <c r="G2041" s="6" t="s">
        <v>101</v>
      </c>
      <c r="H2041" s="5">
        <v>2633035.71</v>
      </c>
      <c r="I2041" s="22" t="s">
        <v>681</v>
      </c>
      <c r="J2041" s="47" t="s">
        <v>102</v>
      </c>
    </row>
    <row r="2042" spans="1:10" ht="30">
      <c r="A2042" s="27" t="s">
        <v>1914</v>
      </c>
      <c r="B2042" s="44" t="s">
        <v>1904</v>
      </c>
      <c r="C2042" s="4" t="s">
        <v>58</v>
      </c>
      <c r="D2042" s="44" t="s">
        <v>1904</v>
      </c>
      <c r="E2042" s="22" t="s">
        <v>336</v>
      </c>
      <c r="F2042" s="6">
        <v>1</v>
      </c>
      <c r="G2042" s="6" t="s">
        <v>101</v>
      </c>
      <c r="H2042" s="5">
        <v>20987500</v>
      </c>
      <c r="I2042" s="22" t="s">
        <v>681</v>
      </c>
      <c r="J2042" s="47" t="s">
        <v>102</v>
      </c>
    </row>
    <row r="2043" spans="1:10" ht="30">
      <c r="A2043" s="47">
        <v>58</v>
      </c>
      <c r="B2043" s="43" t="s">
        <v>1915</v>
      </c>
      <c r="C2043" s="4" t="s">
        <v>578</v>
      </c>
      <c r="D2043" s="44" t="s">
        <v>1915</v>
      </c>
      <c r="E2043" s="4" t="s">
        <v>578</v>
      </c>
      <c r="F2043" s="4" t="s">
        <v>578</v>
      </c>
      <c r="G2043" s="4" t="s">
        <v>578</v>
      </c>
      <c r="H2043" s="13">
        <f>SUM(H2044:H2048)</f>
        <v>11636919.640000001</v>
      </c>
      <c r="I2043" s="4" t="s">
        <v>578</v>
      </c>
      <c r="J2043" s="4" t="s">
        <v>578</v>
      </c>
    </row>
    <row r="2044" spans="1:10" ht="30">
      <c r="A2044" s="47" t="s">
        <v>587</v>
      </c>
      <c r="B2044" s="44" t="s">
        <v>1916</v>
      </c>
      <c r="C2044" s="4" t="s">
        <v>58</v>
      </c>
      <c r="D2044" s="44" t="s">
        <v>1916</v>
      </c>
      <c r="E2044" s="22" t="s">
        <v>100</v>
      </c>
      <c r="F2044" s="6">
        <v>1</v>
      </c>
      <c r="G2044" s="6" t="s">
        <v>101</v>
      </c>
      <c r="H2044" s="5">
        <f>8035714.29+774107.14+748660.71</f>
        <v>9558482.1400000006</v>
      </c>
      <c r="I2044" s="22" t="s">
        <v>681</v>
      </c>
      <c r="J2044" s="47" t="s">
        <v>102</v>
      </c>
    </row>
    <row r="2045" spans="1:10" ht="30">
      <c r="A2045" s="47" t="s">
        <v>588</v>
      </c>
      <c r="B2045" s="44" t="s">
        <v>1917</v>
      </c>
      <c r="C2045" s="4" t="s">
        <v>58</v>
      </c>
      <c r="D2045" s="44" t="s">
        <v>1917</v>
      </c>
      <c r="E2045" s="22" t="s">
        <v>100</v>
      </c>
      <c r="F2045" s="6">
        <v>3</v>
      </c>
      <c r="G2045" s="6" t="s">
        <v>101</v>
      </c>
      <c r="H2045" s="5">
        <v>0</v>
      </c>
      <c r="I2045" s="22" t="s">
        <v>678</v>
      </c>
      <c r="J2045" s="47" t="s">
        <v>102</v>
      </c>
    </row>
    <row r="2046" spans="1:10" ht="30">
      <c r="A2046" s="47" t="s">
        <v>607</v>
      </c>
      <c r="B2046" s="44" t="s">
        <v>1918</v>
      </c>
      <c r="C2046" s="4" t="s">
        <v>58</v>
      </c>
      <c r="D2046" s="44" t="s">
        <v>1918</v>
      </c>
      <c r="E2046" s="22" t="s">
        <v>100</v>
      </c>
      <c r="F2046" s="6">
        <v>15</v>
      </c>
      <c r="G2046" s="6" t="s">
        <v>101</v>
      </c>
      <c r="H2046" s="5">
        <v>2078437.5</v>
      </c>
      <c r="I2046" s="22" t="s">
        <v>678</v>
      </c>
      <c r="J2046" s="47" t="s">
        <v>102</v>
      </c>
    </row>
    <row r="2047" spans="1:10" ht="30">
      <c r="A2047" s="47" t="s">
        <v>2061</v>
      </c>
      <c r="B2047" s="44" t="s">
        <v>660</v>
      </c>
      <c r="C2047" s="4" t="s">
        <v>58</v>
      </c>
      <c r="D2047" s="44" t="s">
        <v>660</v>
      </c>
      <c r="E2047" s="22" t="s">
        <v>100</v>
      </c>
      <c r="F2047" s="6">
        <v>15</v>
      </c>
      <c r="G2047" s="6" t="s">
        <v>101</v>
      </c>
      <c r="H2047" s="5">
        <v>0</v>
      </c>
      <c r="I2047" s="22" t="s">
        <v>678</v>
      </c>
      <c r="J2047" s="47" t="s">
        <v>102</v>
      </c>
    </row>
    <row r="2048" spans="1:10" ht="45">
      <c r="A2048" s="47" t="s">
        <v>3165</v>
      </c>
      <c r="B2048" s="22" t="s">
        <v>3166</v>
      </c>
      <c r="C2048" s="22" t="s">
        <v>58</v>
      </c>
      <c r="D2048" s="22" t="s">
        <v>3166</v>
      </c>
      <c r="E2048" s="22" t="s">
        <v>100</v>
      </c>
      <c r="F2048" s="22">
        <v>2</v>
      </c>
      <c r="G2048" s="6" t="s">
        <v>101</v>
      </c>
      <c r="H2048" s="5">
        <v>0</v>
      </c>
      <c r="I2048" s="22" t="s">
        <v>679</v>
      </c>
      <c r="J2048" s="5" t="s">
        <v>102</v>
      </c>
    </row>
    <row r="2049" spans="1:10" ht="60">
      <c r="A2049" s="47">
        <v>59</v>
      </c>
      <c r="B2049" s="43" t="s">
        <v>1919</v>
      </c>
      <c r="C2049" s="4" t="s">
        <v>578</v>
      </c>
      <c r="D2049" s="44" t="s">
        <v>1919</v>
      </c>
      <c r="E2049" s="4" t="s">
        <v>578</v>
      </c>
      <c r="F2049" s="4" t="s">
        <v>578</v>
      </c>
      <c r="G2049" s="4" t="s">
        <v>578</v>
      </c>
      <c r="H2049" s="13">
        <f>SUM(H2050:H2052)</f>
        <v>155631714.28999999</v>
      </c>
      <c r="I2049" s="4" t="s">
        <v>578</v>
      </c>
      <c r="J2049" s="4" t="s">
        <v>578</v>
      </c>
    </row>
    <row r="2050" spans="1:10" ht="30">
      <c r="A2050" s="47" t="s">
        <v>1923</v>
      </c>
      <c r="B2050" s="44" t="s">
        <v>1920</v>
      </c>
      <c r="C2050" s="4" t="s">
        <v>58</v>
      </c>
      <c r="D2050" s="44" t="s">
        <v>1920</v>
      </c>
      <c r="E2050" s="22" t="s">
        <v>336</v>
      </c>
      <c r="F2050" s="6">
        <v>1</v>
      </c>
      <c r="G2050" s="6" t="s">
        <v>101</v>
      </c>
      <c r="H2050" s="5">
        <v>96629928.569999993</v>
      </c>
      <c r="I2050" s="22" t="s">
        <v>681</v>
      </c>
      <c r="J2050" s="47" t="s">
        <v>102</v>
      </c>
    </row>
    <row r="2051" spans="1:10" ht="45">
      <c r="A2051" s="47" t="s">
        <v>2062</v>
      </c>
      <c r="B2051" s="44" t="s">
        <v>1921</v>
      </c>
      <c r="C2051" s="4" t="s">
        <v>58</v>
      </c>
      <c r="D2051" s="44" t="s">
        <v>1921</v>
      </c>
      <c r="E2051" s="22" t="s">
        <v>336</v>
      </c>
      <c r="F2051" s="6">
        <v>1</v>
      </c>
      <c r="G2051" s="6" t="s">
        <v>101</v>
      </c>
      <c r="H2051" s="5">
        <v>42910714.289999999</v>
      </c>
      <c r="I2051" s="22" t="s">
        <v>681</v>
      </c>
      <c r="J2051" s="47" t="s">
        <v>102</v>
      </c>
    </row>
    <row r="2052" spans="1:10" ht="45">
      <c r="A2052" s="47" t="s">
        <v>2063</v>
      </c>
      <c r="B2052" s="44" t="s">
        <v>1922</v>
      </c>
      <c r="C2052" s="4" t="s">
        <v>58</v>
      </c>
      <c r="D2052" s="44" t="s">
        <v>1922</v>
      </c>
      <c r="E2052" s="22" t="s">
        <v>336</v>
      </c>
      <c r="F2052" s="6">
        <v>1</v>
      </c>
      <c r="G2052" s="6" t="s">
        <v>101</v>
      </c>
      <c r="H2052" s="5">
        <v>16091071.43</v>
      </c>
      <c r="I2052" s="22" t="s">
        <v>681</v>
      </c>
      <c r="J2052" s="47" t="s">
        <v>102</v>
      </c>
    </row>
    <row r="2053" spans="1:10">
      <c r="A2053" s="47">
        <v>60</v>
      </c>
      <c r="B2053" s="43" t="s">
        <v>1924</v>
      </c>
      <c r="C2053" s="4" t="s">
        <v>578</v>
      </c>
      <c r="D2053" s="44" t="s">
        <v>1924</v>
      </c>
      <c r="E2053" s="4" t="s">
        <v>578</v>
      </c>
      <c r="F2053" s="4" t="s">
        <v>578</v>
      </c>
      <c r="G2053" s="4" t="s">
        <v>578</v>
      </c>
      <c r="H2053" s="13">
        <f>H2054</f>
        <v>0</v>
      </c>
      <c r="I2053" s="4" t="s">
        <v>578</v>
      </c>
      <c r="J2053" s="4" t="s">
        <v>578</v>
      </c>
    </row>
    <row r="2054" spans="1:10" ht="30">
      <c r="A2054" s="47" t="s">
        <v>1925</v>
      </c>
      <c r="B2054" s="44" t="s">
        <v>1926</v>
      </c>
      <c r="C2054" s="4" t="s">
        <v>58</v>
      </c>
      <c r="D2054" s="44" t="s">
        <v>1926</v>
      </c>
      <c r="E2054" s="22" t="s">
        <v>336</v>
      </c>
      <c r="F2054" s="6">
        <v>1</v>
      </c>
      <c r="G2054" s="6" t="s">
        <v>101</v>
      </c>
      <c r="H2054" s="5">
        <f>26785714.29-26785714.29</f>
        <v>0</v>
      </c>
      <c r="I2054" s="22" t="s">
        <v>681</v>
      </c>
      <c r="J2054" s="47" t="s">
        <v>102</v>
      </c>
    </row>
    <row r="2055" spans="1:10">
      <c r="A2055" s="47">
        <v>61</v>
      </c>
      <c r="B2055" s="43" t="s">
        <v>1927</v>
      </c>
      <c r="C2055" s="4" t="s">
        <v>578</v>
      </c>
      <c r="D2055" s="44" t="s">
        <v>1927</v>
      </c>
      <c r="E2055" s="4" t="s">
        <v>578</v>
      </c>
      <c r="F2055" s="4" t="s">
        <v>578</v>
      </c>
      <c r="G2055" s="4" t="s">
        <v>578</v>
      </c>
      <c r="H2055" s="13">
        <f>SUM(H2056:H2061)</f>
        <v>17762026.780000001</v>
      </c>
      <c r="I2055" s="4" t="s">
        <v>578</v>
      </c>
      <c r="J2055" s="4" t="s">
        <v>578</v>
      </c>
    </row>
    <row r="2056" spans="1:10" ht="30">
      <c r="A2056" s="47" t="s">
        <v>2064</v>
      </c>
      <c r="B2056" s="44" t="s">
        <v>1926</v>
      </c>
      <c r="C2056" s="4" t="s">
        <v>58</v>
      </c>
      <c r="D2056" s="44" t="s">
        <v>1926</v>
      </c>
      <c r="E2056" s="22" t="s">
        <v>336</v>
      </c>
      <c r="F2056" s="4">
        <v>1</v>
      </c>
      <c r="G2056" s="6" t="s">
        <v>101</v>
      </c>
      <c r="H2056" s="5">
        <v>14000000</v>
      </c>
      <c r="I2056" s="22" t="s">
        <v>681</v>
      </c>
      <c r="J2056" s="47" t="s">
        <v>102</v>
      </c>
    </row>
    <row r="2057" spans="1:10" ht="30">
      <c r="A2057" s="47" t="s">
        <v>2065</v>
      </c>
      <c r="B2057" s="44" t="s">
        <v>1928</v>
      </c>
      <c r="C2057" s="4" t="s">
        <v>58</v>
      </c>
      <c r="D2057" s="44" t="s">
        <v>1928</v>
      </c>
      <c r="E2057" s="22" t="s">
        <v>336</v>
      </c>
      <c r="F2057" s="4">
        <v>1</v>
      </c>
      <c r="G2057" s="6" t="s">
        <v>101</v>
      </c>
      <c r="H2057" s="5">
        <v>3000000</v>
      </c>
      <c r="I2057" s="22" t="s">
        <v>681</v>
      </c>
      <c r="J2057" s="47" t="s">
        <v>102</v>
      </c>
    </row>
    <row r="2058" spans="1:10" ht="30">
      <c r="A2058" s="47" t="s">
        <v>2066</v>
      </c>
      <c r="B2058" s="44" t="s">
        <v>1929</v>
      </c>
      <c r="C2058" s="4" t="s">
        <v>58</v>
      </c>
      <c r="D2058" s="44" t="s">
        <v>1929</v>
      </c>
      <c r="E2058" s="4" t="s">
        <v>100</v>
      </c>
      <c r="F2058" s="4">
        <v>2</v>
      </c>
      <c r="G2058" s="6" t="s">
        <v>101</v>
      </c>
      <c r="H2058" s="5">
        <v>499982.14</v>
      </c>
      <c r="I2058" s="22" t="s">
        <v>681</v>
      </c>
      <c r="J2058" s="47" t="s">
        <v>102</v>
      </c>
    </row>
    <row r="2059" spans="1:10" ht="30">
      <c r="A2059" s="47" t="s">
        <v>2067</v>
      </c>
      <c r="B2059" s="44" t="s">
        <v>1929</v>
      </c>
      <c r="C2059" s="4" t="s">
        <v>58</v>
      </c>
      <c r="D2059" s="44" t="s">
        <v>1929</v>
      </c>
      <c r="E2059" s="4" t="s">
        <v>100</v>
      </c>
      <c r="F2059" s="4">
        <v>1</v>
      </c>
      <c r="G2059" s="6" t="s">
        <v>101</v>
      </c>
      <c r="H2059" s="5">
        <v>133919.64000000001</v>
      </c>
      <c r="I2059" s="22" t="s">
        <v>681</v>
      </c>
      <c r="J2059" s="47" t="s">
        <v>102</v>
      </c>
    </row>
    <row r="2060" spans="1:10" ht="30">
      <c r="A2060" s="47" t="s">
        <v>2068</v>
      </c>
      <c r="B2060" s="44" t="s">
        <v>1930</v>
      </c>
      <c r="C2060" s="4" t="s">
        <v>58</v>
      </c>
      <c r="D2060" s="44" t="s">
        <v>1930</v>
      </c>
      <c r="E2060" s="4" t="s">
        <v>100</v>
      </c>
      <c r="F2060" s="4">
        <v>1</v>
      </c>
      <c r="G2060" s="6" t="s">
        <v>101</v>
      </c>
      <c r="H2060" s="5">
        <v>68312.5</v>
      </c>
      <c r="I2060" s="22" t="s">
        <v>681</v>
      </c>
      <c r="J2060" s="47" t="s">
        <v>102</v>
      </c>
    </row>
    <row r="2061" spans="1:10" ht="30">
      <c r="A2061" s="47" t="s">
        <v>2069</v>
      </c>
      <c r="B2061" s="44" t="s">
        <v>1931</v>
      </c>
      <c r="C2061" s="4" t="s">
        <v>58</v>
      </c>
      <c r="D2061" s="44" t="s">
        <v>1931</v>
      </c>
      <c r="E2061" s="4" t="s">
        <v>100</v>
      </c>
      <c r="F2061" s="4">
        <v>1</v>
      </c>
      <c r="G2061" s="6" t="s">
        <v>101</v>
      </c>
      <c r="H2061" s="5">
        <v>59812.5</v>
      </c>
      <c r="I2061" s="22" t="s">
        <v>681</v>
      </c>
      <c r="J2061" s="47" t="s">
        <v>102</v>
      </c>
    </row>
    <row r="2062" spans="1:10" ht="31.5">
      <c r="A2062" s="23">
        <v>62</v>
      </c>
      <c r="B2062" s="43" t="s">
        <v>1932</v>
      </c>
      <c r="C2062" s="4" t="s">
        <v>578</v>
      </c>
      <c r="D2062" s="42" t="s">
        <v>1932</v>
      </c>
      <c r="E2062" s="22" t="s">
        <v>336</v>
      </c>
      <c r="F2062" s="6">
        <v>1</v>
      </c>
      <c r="G2062" s="6" t="s">
        <v>101</v>
      </c>
      <c r="H2062" s="13">
        <f>200000000/1.12-169642857.14-8495535.7</f>
        <v>433035.73142858222</v>
      </c>
      <c r="I2062" s="22" t="s">
        <v>679</v>
      </c>
      <c r="J2062" s="47" t="s">
        <v>102</v>
      </c>
    </row>
    <row r="2063" spans="1:10">
      <c r="A2063" s="26"/>
      <c r="B2063" s="12" t="s">
        <v>579</v>
      </c>
      <c r="C2063" s="4"/>
      <c r="D2063" s="4"/>
      <c r="E2063" s="1"/>
      <c r="F2063" s="1"/>
      <c r="G2063" s="1"/>
      <c r="H2063" s="8">
        <f>H8+H13+H40+H96+H104+H120+H129+H139+H253+H261+H272+H304+H305+H306+H307+H606+H628+H716+H1449+H1459+H1592+H1612+H1632+H1635+H1667+H1668+H1676+H1716+H1734+H1735+H1738+H1746+H1761+H1800+H1801+H1806+H1859+H1998+H2005+H2008+H2009+H2010+H2011+H2020+H2021+H2022+H2023+H2024+H2025+H2027+H2028+H2029+H2030+H2033+H2034+H2036+H2039+H2043+H2049+H2053+H2055+H2062+H2026+H2006+H2007</f>
        <v>7920024904.568181</v>
      </c>
      <c r="I2063" s="1"/>
      <c r="J2063" s="1"/>
    </row>
    <row r="2064" spans="1:10" ht="54" customHeight="1">
      <c r="A2064" s="62" t="s">
        <v>3196</v>
      </c>
      <c r="B2064" s="62"/>
      <c r="C2064" s="62"/>
      <c r="D2064" s="62"/>
      <c r="E2064" s="62"/>
      <c r="F2064" s="62"/>
      <c r="G2064" s="62"/>
      <c r="H2064" s="62"/>
      <c r="I2064" s="62"/>
      <c r="J2064" s="62"/>
    </row>
    <row r="2065" spans="1:10" ht="72" customHeight="1">
      <c r="A2065" s="62"/>
      <c r="B2065" s="62"/>
      <c r="C2065" s="62"/>
      <c r="D2065" s="62"/>
      <c r="E2065" s="62"/>
      <c r="F2065" s="62"/>
      <c r="G2065" s="62"/>
      <c r="H2065" s="62"/>
      <c r="I2065" s="62"/>
      <c r="J2065" s="62"/>
    </row>
    <row r="2066" spans="1:10" ht="27" hidden="1" customHeight="1">
      <c r="A2066" s="40"/>
      <c r="B2066" s="29" t="s">
        <v>597</v>
      </c>
      <c r="C2066" s="28"/>
      <c r="D2066" s="28"/>
      <c r="E2066" s="28"/>
      <c r="F2066" s="28"/>
      <c r="G2066" s="28"/>
      <c r="H2066" s="28"/>
      <c r="I2066" s="28"/>
      <c r="J2066" s="28"/>
    </row>
    <row r="2067" spans="1:10" hidden="1">
      <c r="A2067" s="26"/>
      <c r="B2067" s="4" t="s">
        <v>595</v>
      </c>
      <c r="C2067" s="2"/>
      <c r="D2067" s="2"/>
    </row>
    <row r="2068" spans="1:10" hidden="1">
      <c r="A2068" s="26"/>
      <c r="B2068" s="4" t="s">
        <v>596</v>
      </c>
      <c r="C2068" s="2"/>
      <c r="D2068" s="2"/>
    </row>
  </sheetData>
  <autoFilter ref="A7:J2064"/>
  <sortState caseSensitive="1" ref="A3:AI180">
    <sortCondition ref="A3:A180" customList="1,1/1,1/2,1/3,1/4,1/5,1/6,1/7,2,2/1,2/2,2/3,2/4,2/5,2/6,2/7,2/8,2/9,2/10,2/11,2/12,2/12,2/13,2/14,2/15,2/16,2/17,2/18,2/19,2/20,2/21,2/22,2/23,2/24,2/25,2/26,2/27,2/28,2/29,3,3/1,3/2,3/3,3/4,3/5,3/6,3/7,3/8,3/9,3/10,3/11,3/12,3/13,3/14,3/15,3/16,3/17,3/18"/>
  </sortState>
  <mergeCells count="15">
    <mergeCell ref="J3:J4"/>
    <mergeCell ref="E3:E4"/>
    <mergeCell ref="H3:H4"/>
    <mergeCell ref="I3:I4"/>
    <mergeCell ref="B3:B4"/>
    <mergeCell ref="A1:J1"/>
    <mergeCell ref="A2:J2"/>
    <mergeCell ref="F3:F4"/>
    <mergeCell ref="A2065:J2065"/>
    <mergeCell ref="G3:G4"/>
    <mergeCell ref="A2064:J2064"/>
    <mergeCell ref="A6:J6"/>
    <mergeCell ref="A3:A4"/>
    <mergeCell ref="D3:D4"/>
    <mergeCell ref="C3:C4"/>
  </mergeCells>
  <pageMargins left="0.31496062992125984" right="0.31496062992125984" top="0.35433070866141736" bottom="0.35433070866141736" header="0.31496062992125984" footer="0.31496062992125984"/>
  <pageSetup paperSize="9" scale="55" fitToHeight="73" pageOrder="overThenDown" orientation="landscape" horizontalDpi="180" verticalDpi="180" r:id="rId1"/>
  <rowBreaks count="16" manualBreakCount="16">
    <brk id="1670" max="9" man="1"/>
    <brk id="1691" max="9" man="1"/>
    <brk id="1711" max="9" man="1"/>
    <brk id="1735" max="9" man="1"/>
    <brk id="1751" max="9" man="1"/>
    <brk id="1768" max="9" man="1"/>
    <brk id="1786" max="9" man="1"/>
    <brk id="1805" max="9" man="1"/>
    <brk id="1819" max="9" man="1"/>
    <brk id="1830" max="9" man="1"/>
    <brk id="1841" max="9" man="1"/>
    <brk id="1861" max="9" man="1"/>
    <brk id="2016" max="9" man="1"/>
    <brk id="2031" max="9" man="1"/>
    <brk id="2045" max="9" man="1"/>
    <brk id="2065" max="9" man="1"/>
  </rowBreaks>
  <ignoredErrors>
    <ignoredError sqref="A13 A104 A96 A120 A129 A139 A253 A261 A272 A304:A307 A606 A628 A716 A1449 A1459 A1592 A1612 A1632 A1635 A1667:A1668 A1676 A1716 A1734:A1735 A1738 A1746 A1761 A1800:A1801 A1806 A1859" numberStoredAsText="1"/>
    <ignoredError sqref="A26:A27 A53:A91 A117:A119 A240:A252 A285:A301 A221:A236 A152:A216" twoDigitTextYear="1"/>
    <ignoredError sqref="H1635 H19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</vt:lpstr>
      <vt:lpstr>ПЗ!Область_печати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2016-11-01T03:35:18Z</dcterms:modified>
</cp:coreProperties>
</file>